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325"/>
  <workbookPr/>
  <mc:AlternateContent xmlns:mc="http://schemas.openxmlformats.org/markup-compatibility/2006">
    <mc:Choice Requires="x15">
      <x15ac:absPath xmlns:x15ac="http://schemas.microsoft.com/office/spreadsheetml/2010/11/ac" url="C:\Users\USER\Dropbox\Unicef 2020\BELDS\Work\Examples of Action Plans\"/>
    </mc:Choice>
  </mc:AlternateContent>
  <xr:revisionPtr revIDLastSave="0" documentId="8_{CECC75A5-336F-4C0E-AE86-1FAE3B49E4C4}" xr6:coauthVersionLast="45" xr6:coauthVersionMax="45" xr10:uidLastSave="{00000000-0000-0000-0000-000000000000}"/>
  <bookViews>
    <workbookView xWindow="-120" yWindow="-120" windowWidth="21840" windowHeight="13140" activeTab="2" xr2:uid="{00000000-000D-0000-FFFF-FFFF00000000}"/>
  </bookViews>
  <sheets>
    <sheet name="Sheet1" sheetId="1" r:id="rId1"/>
    <sheet name="Sheet3" sheetId="3" r:id="rId2"/>
    <sheet name="Action plan on quaterly basis" sheetId="2" r:id="rId3"/>
  </sheets>
  <definedNames>
    <definedName name="_Hlk484928612" localSheetId="0">Sheet1!#REF!</definedName>
    <definedName name="_Hlk484928801" localSheetId="0">Sheet1!#REF!</definedName>
    <definedName name="_Hlk487101408" localSheetId="0">Sheet1!#REF!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D58" i="2" l="1"/>
  <c r="AD72" i="2" s="1"/>
  <c r="AD148" i="2"/>
  <c r="Y148" i="2"/>
  <c r="T148" i="2"/>
  <c r="O148" i="2"/>
  <c r="J148" i="2"/>
  <c r="J157" i="2" s="1"/>
  <c r="AD147" i="2"/>
  <c r="Y147" i="2"/>
  <c r="T147" i="2"/>
  <c r="O147" i="2"/>
  <c r="AD142" i="2"/>
  <c r="Y142" i="2"/>
  <c r="T142" i="2"/>
  <c r="O142" i="2"/>
  <c r="AD141" i="2"/>
  <c r="Y141" i="2"/>
  <c r="T141" i="2"/>
  <c r="O141" i="2"/>
  <c r="O132" i="2"/>
  <c r="T132" i="2" s="1"/>
  <c r="T123" i="2"/>
  <c r="O123" i="2"/>
  <c r="AD121" i="2"/>
  <c r="Y121" i="2"/>
  <c r="T121" i="2"/>
  <c r="Y120" i="2"/>
  <c r="O120" i="2"/>
  <c r="AD115" i="2"/>
  <c r="Y115" i="2"/>
  <c r="T115" i="2"/>
  <c r="O115" i="2"/>
  <c r="J115" i="2"/>
  <c r="J98" i="2"/>
  <c r="O89" i="2"/>
  <c r="O87" i="2"/>
  <c r="AD84" i="2"/>
  <c r="Y84" i="2"/>
  <c r="T84" i="2"/>
  <c r="O84" i="2"/>
  <c r="AD80" i="2"/>
  <c r="Y80" i="2"/>
  <c r="Y98" i="2" s="1"/>
  <c r="T80" i="2"/>
  <c r="T98" i="2" s="1"/>
  <c r="O80" i="2"/>
  <c r="T79" i="2"/>
  <c r="O79" i="2"/>
  <c r="AD78" i="2"/>
  <c r="Y78" i="2"/>
  <c r="T78" i="2"/>
  <c r="O78" i="2"/>
  <c r="AD77" i="2"/>
  <c r="Y77" i="2"/>
  <c r="T77" i="2"/>
  <c r="O77" i="2"/>
  <c r="AD76" i="2"/>
  <c r="Y76" i="2"/>
  <c r="T76" i="2"/>
  <c r="O76" i="2"/>
  <c r="AD71" i="2"/>
  <c r="Y71" i="2"/>
  <c r="T71" i="2"/>
  <c r="O71" i="2"/>
  <c r="J71" i="2"/>
  <c r="J72" i="2" s="1"/>
  <c r="AD70" i="2"/>
  <c r="Y70" i="2"/>
  <c r="T70" i="2"/>
  <c r="O70" i="2"/>
  <c r="J70" i="2"/>
  <c r="AD66" i="2"/>
  <c r="Y66" i="2"/>
  <c r="T66" i="2"/>
  <c r="O66" i="2"/>
  <c r="J66" i="2"/>
  <c r="O61" i="2"/>
  <c r="AD59" i="2"/>
  <c r="Y59" i="2"/>
  <c r="T59" i="2"/>
  <c r="O59" i="2"/>
  <c r="O72" i="2" s="1"/>
  <c r="Y58" i="2"/>
  <c r="T58" i="2"/>
  <c r="O58" i="2"/>
  <c r="AD51" i="2"/>
  <c r="AD53" i="2" s="1"/>
  <c r="AD55" i="2" s="1"/>
  <c r="Y51" i="2"/>
  <c r="Y53" i="2" s="1"/>
  <c r="Y55" i="2" s="1"/>
  <c r="T51" i="2"/>
  <c r="T53" i="2" s="1"/>
  <c r="O51" i="2"/>
  <c r="O53" i="2"/>
  <c r="O55" i="2" s="1"/>
  <c r="J51" i="2"/>
  <c r="J53" i="2" s="1"/>
  <c r="AD41" i="2"/>
  <c r="Y41" i="2"/>
  <c r="T41" i="2"/>
  <c r="O41" i="2"/>
  <c r="AD40" i="2"/>
  <c r="Y40" i="2"/>
  <c r="T40" i="2"/>
  <c r="O40" i="2"/>
  <c r="AD39" i="2"/>
  <c r="Y39" i="2"/>
  <c r="T39" i="2"/>
  <c r="O39" i="2"/>
  <c r="AD31" i="2"/>
  <c r="AD32" i="2"/>
  <c r="Y31" i="2"/>
  <c r="Y32" i="2" s="1"/>
  <c r="T31" i="2"/>
  <c r="T32" i="2" s="1"/>
  <c r="O31" i="2"/>
  <c r="O32" i="2" s="1"/>
  <c r="J31" i="2"/>
  <c r="J32" i="2" s="1"/>
  <c r="AD24" i="2"/>
  <c r="Y24" i="2"/>
  <c r="T24" i="2"/>
  <c r="O24" i="2"/>
  <c r="J24" i="2"/>
  <c r="AD23" i="2"/>
  <c r="Y23" i="2"/>
  <c r="T23" i="2"/>
  <c r="O23" i="2"/>
  <c r="AD22" i="2"/>
  <c r="Y22" i="2"/>
  <c r="T22" i="2"/>
  <c r="O22" i="2"/>
  <c r="J22" i="2"/>
  <c r="AD21" i="2"/>
  <c r="Y21" i="2"/>
  <c r="T21" i="2"/>
  <c r="O21" i="2"/>
  <c r="O18" i="2"/>
  <c r="T18" i="2" s="1"/>
  <c r="Y18" i="2" s="1"/>
  <c r="AD18" i="2" s="1"/>
  <c r="AD17" i="2"/>
  <c r="Y17" i="2"/>
  <c r="T17" i="2"/>
  <c r="O17" i="2"/>
  <c r="J17" i="2"/>
  <c r="Y16" i="2"/>
  <c r="T16" i="2"/>
  <c r="O16" i="2"/>
  <c r="J16" i="2"/>
  <c r="AD15" i="2"/>
  <c r="T15" i="2"/>
  <c r="O15" i="2"/>
  <c r="J15" i="2"/>
  <c r="AD9" i="2"/>
  <c r="Y9" i="2"/>
  <c r="T9" i="2"/>
  <c r="O9" i="2"/>
  <c r="J9" i="2"/>
  <c r="AD8" i="2"/>
  <c r="Y8" i="2"/>
  <c r="T8" i="2"/>
  <c r="O8" i="2"/>
  <c r="AD98" i="2"/>
  <c r="J71" i="1"/>
  <c r="I71" i="1"/>
  <c r="H71" i="1"/>
  <c r="G71" i="1"/>
  <c r="F71" i="1"/>
  <c r="G116" i="1"/>
  <c r="H116" i="1"/>
  <c r="I116" i="1"/>
  <c r="J116" i="1"/>
  <c r="F116" i="1"/>
  <c r="F98" i="1"/>
  <c r="G18" i="1"/>
  <c r="H18" i="1" s="1"/>
  <c r="J151" i="1"/>
  <c r="I151" i="1"/>
  <c r="H151" i="1"/>
  <c r="G151" i="1"/>
  <c r="F151" i="1"/>
  <c r="F160" i="1" s="1"/>
  <c r="J150" i="1"/>
  <c r="I150" i="1"/>
  <c r="H150" i="1"/>
  <c r="G150" i="1"/>
  <c r="J145" i="1"/>
  <c r="I145" i="1"/>
  <c r="H145" i="1"/>
  <c r="G145" i="1"/>
  <c r="J144" i="1"/>
  <c r="I144" i="1"/>
  <c r="H144" i="1"/>
  <c r="G144" i="1"/>
  <c r="G134" i="1"/>
  <c r="H134" i="1"/>
  <c r="I134" i="1" s="1"/>
  <c r="J134" i="1" s="1"/>
  <c r="H125" i="1"/>
  <c r="G125" i="1"/>
  <c r="J123" i="1"/>
  <c r="I123" i="1"/>
  <c r="H123" i="1"/>
  <c r="I122" i="1"/>
  <c r="G122" i="1"/>
  <c r="G89" i="1"/>
  <c r="G87" i="1"/>
  <c r="J84" i="1"/>
  <c r="I84" i="1"/>
  <c r="H84" i="1"/>
  <c r="G84" i="1"/>
  <c r="J80" i="1"/>
  <c r="I80" i="1"/>
  <c r="H80" i="1"/>
  <c r="G80" i="1"/>
  <c r="G98" i="1" s="1"/>
  <c r="H79" i="1"/>
  <c r="G79" i="1"/>
  <c r="J78" i="1"/>
  <c r="I78" i="1"/>
  <c r="H78" i="1"/>
  <c r="G78" i="1"/>
  <c r="J77" i="1"/>
  <c r="I77" i="1"/>
  <c r="H77" i="1"/>
  <c r="G77" i="1"/>
  <c r="J76" i="1"/>
  <c r="J98" i="1" s="1"/>
  <c r="I76" i="1"/>
  <c r="I98" i="1" s="1"/>
  <c r="H76" i="1"/>
  <c r="G76" i="1"/>
  <c r="J70" i="1"/>
  <c r="I70" i="1"/>
  <c r="H70" i="1"/>
  <c r="G70" i="1"/>
  <c r="F70" i="1"/>
  <c r="J66" i="1"/>
  <c r="J72" i="1" s="1"/>
  <c r="I66" i="1"/>
  <c r="H66" i="1"/>
  <c r="G66" i="1"/>
  <c r="F66" i="1"/>
  <c r="G61" i="1"/>
  <c r="J59" i="1"/>
  <c r="I59" i="1"/>
  <c r="H59" i="1"/>
  <c r="G59" i="1"/>
  <c r="J58" i="1"/>
  <c r="I58" i="1"/>
  <c r="I72" i="1" s="1"/>
  <c r="H58" i="1"/>
  <c r="H72" i="1" s="1"/>
  <c r="G58" i="1"/>
  <c r="J51" i="1"/>
  <c r="J53" i="1"/>
  <c r="I51" i="1"/>
  <c r="I53" i="1" s="1"/>
  <c r="H51" i="1"/>
  <c r="H53" i="1"/>
  <c r="G51" i="1"/>
  <c r="G53" i="1" s="1"/>
  <c r="G55" i="1" s="1"/>
  <c r="K55" i="1" s="1"/>
  <c r="F51" i="1"/>
  <c r="J41" i="1"/>
  <c r="I41" i="1"/>
  <c r="H41" i="1"/>
  <c r="G41" i="1"/>
  <c r="J40" i="1"/>
  <c r="I40" i="1"/>
  <c r="H40" i="1"/>
  <c r="G40" i="1"/>
  <c r="J39" i="1"/>
  <c r="I39" i="1"/>
  <c r="I55" i="1" s="1"/>
  <c r="H39" i="1"/>
  <c r="H55" i="1" s="1"/>
  <c r="G39" i="1"/>
  <c r="G160" i="1"/>
  <c r="J55" i="1"/>
  <c r="F72" i="1"/>
  <c r="F53" i="1"/>
  <c r="F55" i="1" s="1"/>
  <c r="J31" i="1"/>
  <c r="J32" i="1"/>
  <c r="I31" i="1"/>
  <c r="I32" i="1" s="1"/>
  <c r="H31" i="1"/>
  <c r="H32" i="1"/>
  <c r="G31" i="1"/>
  <c r="G32" i="1" s="1"/>
  <c r="F31" i="1"/>
  <c r="F32" i="1"/>
  <c r="J24" i="1"/>
  <c r="I24" i="1"/>
  <c r="H24" i="1"/>
  <c r="G24" i="1"/>
  <c r="F24" i="1"/>
  <c r="J23" i="1"/>
  <c r="I23" i="1"/>
  <c r="H23" i="1"/>
  <c r="G23" i="1"/>
  <c r="I8" i="3"/>
  <c r="H8" i="3"/>
  <c r="G8" i="3"/>
  <c r="F8" i="3"/>
  <c r="E8" i="3"/>
  <c r="I7" i="3"/>
  <c r="H7" i="3"/>
  <c r="G7" i="3"/>
  <c r="F7" i="3"/>
  <c r="J6" i="3"/>
  <c r="I5" i="3"/>
  <c r="H5" i="3"/>
  <c r="F5" i="3"/>
  <c r="G5" i="3" s="1"/>
  <c r="J22" i="1"/>
  <c r="I22" i="1"/>
  <c r="H22" i="1"/>
  <c r="G22" i="1"/>
  <c r="F22" i="1"/>
  <c r="J21" i="1"/>
  <c r="I21" i="1"/>
  <c r="H21" i="1"/>
  <c r="G21" i="1"/>
  <c r="J17" i="1"/>
  <c r="I17" i="1"/>
  <c r="H17" i="1"/>
  <c r="G17" i="1"/>
  <c r="F17" i="1"/>
  <c r="I16" i="1"/>
  <c r="H16" i="1"/>
  <c r="G16" i="1"/>
  <c r="F16" i="1"/>
  <c r="J15" i="1"/>
  <c r="H15" i="1"/>
  <c r="G15" i="1"/>
  <c r="F15" i="1"/>
  <c r="F35" i="1" s="1"/>
  <c r="J9" i="1"/>
  <c r="I9" i="1"/>
  <c r="H9" i="1"/>
  <c r="G9" i="1"/>
  <c r="F9" i="1"/>
  <c r="J8" i="1"/>
  <c r="I8" i="1"/>
  <c r="H8" i="1"/>
  <c r="G8" i="1"/>
  <c r="Y72" i="2" l="1"/>
  <c r="T72" i="2"/>
  <c r="O98" i="2"/>
  <c r="AE98" i="2" s="1"/>
  <c r="AE115" i="2"/>
  <c r="J5" i="3"/>
  <c r="J7" i="3"/>
  <c r="J8" i="3"/>
  <c r="J35" i="2"/>
  <c r="T35" i="2"/>
  <c r="O35" i="2"/>
  <c r="J160" i="1"/>
  <c r="G35" i="1"/>
  <c r="G72" i="1"/>
  <c r="K72" i="1" s="1"/>
  <c r="H98" i="1"/>
  <c r="K98" i="1" s="1"/>
  <c r="K116" i="1"/>
  <c r="Y132" i="2"/>
  <c r="T157" i="2"/>
  <c r="I160" i="1"/>
  <c r="AE72" i="2"/>
  <c r="AD35" i="2"/>
  <c r="T55" i="2"/>
  <c r="H35" i="1"/>
  <c r="I18" i="1"/>
  <c r="J18" i="1" s="1"/>
  <c r="J35" i="1" s="1"/>
  <c r="Y35" i="2"/>
  <c r="H160" i="1"/>
  <c r="K160" i="1" s="1"/>
  <c r="J55" i="2"/>
  <c r="AE55" i="2" s="1"/>
  <c r="O157" i="2"/>
  <c r="AE35" i="2" l="1"/>
  <c r="I35" i="1"/>
  <c r="K35" i="1"/>
  <c r="Y157" i="2"/>
  <c r="AE157" i="2" s="1"/>
  <c r="AD132" i="2"/>
  <c r="AD157" i="2" s="1"/>
</calcChain>
</file>

<file path=xl/sharedStrings.xml><?xml version="1.0" encoding="utf-8"?>
<sst xmlns="http://schemas.openxmlformats.org/spreadsheetml/2006/main" count="2013" uniqueCount="382">
  <si>
    <t>Expand and Increase Access and Equity in ECE</t>
  </si>
  <si>
    <t xml:space="preserve">Strategies </t>
  </si>
  <si>
    <t xml:space="preserve"> Activities</t>
  </si>
  <si>
    <t>Targets</t>
  </si>
  <si>
    <t>1.1.1 Conduct ECE awareness raising campaigns at all community levels through local media.</t>
  </si>
  <si>
    <t>1.1.2 Expansion access  of ECE  centers in  main cities in the six  regions</t>
  </si>
  <si>
    <t>Improve the Quality and Relevance of ECE</t>
  </si>
  <si>
    <t xml:space="preserve">1.2.1 Recruit and train ECE teaching workforce </t>
  </si>
  <si>
    <t>Improve Internal and External Efficiencies within ECE</t>
  </si>
  <si>
    <t>1.3.1 Develop and adopt an ECE policy with minimum standards for ECE schools</t>
  </si>
  <si>
    <t xml:space="preserve">1.1.1.1 Conduct quarterly ECE awareness raising campaign though madrassas and  Imams </t>
  </si>
  <si>
    <t xml:space="preserve">1.1.1.3 Establish collaboration with Ministry of Religion and Endowment </t>
  </si>
  <si>
    <t>31  ECE  centres constructed and furnished.</t>
  </si>
  <si>
    <t>1.1.1.2 Engage with parents on the complimenting nature of ECE to Quranic schools</t>
  </si>
  <si>
    <t xml:space="preserve">One national Education committee established and casecaded to the regions </t>
  </si>
  <si>
    <t xml:space="preserve">Annual Indicative Cost </t>
  </si>
  <si>
    <t xml:space="preserve">Priority objective </t>
  </si>
  <si>
    <t xml:space="preserve">Priority Code </t>
  </si>
  <si>
    <t>1.1.2.1 Construct and  furnish  31  new  ECE centers</t>
  </si>
  <si>
    <t>PHARO Foudation /MOE&amp;HS</t>
  </si>
  <si>
    <t xml:space="preserve">ECE  300 teacher recruited and at least 70% FM trained on ECE  teaching methodology  and operational </t>
  </si>
  <si>
    <t>1.3.1.1 Finalize ECE policy framework</t>
  </si>
  <si>
    <t xml:space="preserve">resource /Responsibility </t>
  </si>
  <si>
    <t xml:space="preserve">roll out the ECE curriculum and reach  3,720 children.  </t>
  </si>
  <si>
    <t xml:space="preserve">Framework and minimum standards </t>
  </si>
  <si>
    <t>ECE  t/l materials distributed to the all existing  centres</t>
  </si>
  <si>
    <t xml:space="preserve">MOUs between the minitries </t>
  </si>
  <si>
    <r>
      <t>2.1.1</t>
    </r>
    <r>
      <rPr>
        <sz val="11"/>
        <color rgb="FF000000"/>
        <rFont val="Arial"/>
        <family val="2"/>
      </rPr>
      <t xml:space="preserve"> Improve , expansion and optimization of  the number of primary schools and classrooms, while targeting  disadvantaged students </t>
    </r>
  </si>
  <si>
    <t>2.1.2 Implement equity strategies in primary schools for students, teachers and head teachers for girls and other marginalized groups.</t>
  </si>
  <si>
    <t>Construct 20 girl friendly places in 20 primary schools</t>
  </si>
  <si>
    <t xml:space="preserve">Recruit 100 special needs education teachers </t>
  </si>
  <si>
    <t>Priority Objective 2.2: Improve the Quality and Relevance of Primary Education</t>
  </si>
  <si>
    <t>2.2.1 Increase the number of qualified teachers in primary schools.</t>
  </si>
  <si>
    <t>2.2.2 Strengthen  the national curriculum for primary education by improving its relevance and delivery taking into account matters of gender, special needs and vulnerable children</t>
  </si>
  <si>
    <t xml:space="preserve">2.3.1 Promote of  students survival and transition rate </t>
  </si>
  <si>
    <t>2.3.2  Strengthen  School  management</t>
  </si>
  <si>
    <t xml:space="preserve">Expand and Increase Access and Equity in Primary education </t>
  </si>
  <si>
    <t>Improve Internal and External Efficiencies within the Primary School Subsector</t>
  </si>
  <si>
    <t>Primary</t>
  </si>
  <si>
    <t xml:space="preserve">contruction of 5 upper primary boarding schools and 135  primary schools, all functional and used for educational purposes </t>
  </si>
  <si>
    <r>
      <t xml:space="preserve">2.1.1.1 Construct 135 Primary schools including special needs , </t>
    </r>
    <r>
      <rPr>
        <b/>
        <sz val="11"/>
        <color rgb="FF000000"/>
        <rFont val="Arial"/>
        <family val="2"/>
      </rPr>
      <t>ABE</t>
    </r>
    <r>
      <rPr>
        <sz val="11"/>
        <color rgb="FF000000"/>
        <rFont val="Arial"/>
        <family val="2"/>
      </rPr>
      <t xml:space="preserve">  and 5 upper primary boarding schools </t>
    </r>
  </si>
  <si>
    <t xml:space="preserve">2.1.1.2 Renovate  and furnish 340 classes  including  water and toilet facilities for the target schools </t>
  </si>
  <si>
    <t xml:space="preserve">340 classrooms renovated, furnished and available for use </t>
  </si>
  <si>
    <t>2.1.1.3 Recruit and provide hardship allowance to 975  primary and ABE teachers in rural areas</t>
  </si>
  <si>
    <t xml:space="preserve">975,teachers recruited receive monthly hardship allowance </t>
  </si>
  <si>
    <t xml:space="preserve"> 425 schools get access to  feeding programs </t>
  </si>
  <si>
    <t xml:space="preserve">425 schools with flexible learning programmes operational </t>
  </si>
  <si>
    <t>21452 girls get access to take  home ration on regular basis</t>
  </si>
  <si>
    <t xml:space="preserve">2.1.1.4 Provide school feeding program to 200 additional primary and ABE  schools   ,  </t>
  </si>
  <si>
    <t>2.1.1.5 Establish flexible cost effective and alternative  learning approaches to complement formal  education system</t>
  </si>
  <si>
    <t>2.1.1.6 Provide take home ration to 21,452 additional girls.</t>
  </si>
  <si>
    <t>2.1.1.7 Construct 20 girl friendly places in 20 primary schools</t>
  </si>
  <si>
    <t xml:space="preserve"> 20 GFS constructed and functional </t>
  </si>
  <si>
    <t xml:space="preserve">2.1.1.8 Recruit 100 special needs education teachers </t>
  </si>
  <si>
    <t>189 special needs teachers recruited and operational</t>
  </si>
  <si>
    <t xml:space="preserve"> Provide school feeding program to 200 additional primary and ABE  schools   ,  </t>
  </si>
  <si>
    <t> Provide take home ration to 21,452 additional girls.</t>
  </si>
  <si>
    <t>5347 teachers trained and certified, are in operation to contribute the quality in education</t>
  </si>
  <si>
    <t xml:space="preserve">50%of primary schools reach minimum standards requirements </t>
  </si>
  <si>
    <t xml:space="preserve"> inclusive, relevant to culture and environment  curriculum in place.</t>
  </si>
  <si>
    <t>include primary education curriculum with standard sign language for special needs</t>
  </si>
  <si>
    <t xml:space="preserve"> student text book  ratio  1;1 </t>
  </si>
  <si>
    <t xml:space="preserve">50% children get access to supplementary material </t>
  </si>
  <si>
    <t xml:space="preserve">2.2.1.1 Recruit new teachers and provide subject matter and pedagogy training to 2,214 in-service  primary school teachers </t>
  </si>
  <si>
    <t xml:space="preserve">2.2.1.2 Support school monitoring and supervision thrice quarterly </t>
  </si>
  <si>
    <t xml:space="preserve">2.2.1.3 Review  ABE  curriculum to incorporate culturally relevant material for the Pastoralists and nomadic education </t>
  </si>
  <si>
    <t>2.2.1.4 Review  the national curriculum for primary education and improve its delivery taking into account matters of gender, special needs (Standardized sign language) and vulnerable children.</t>
  </si>
  <si>
    <t>2.2.1.5 Develop and distribute  teaching and learning materials (Teachers guide, student work book).</t>
  </si>
  <si>
    <t xml:space="preserve">2.2.1.6 Develop teaching and  learning supplementary materials </t>
  </si>
  <si>
    <t xml:space="preserve">increase contact hours  to  7 hours per day </t>
  </si>
  <si>
    <t xml:space="preserve">provide remedial classess atleast 20% of public schools </t>
  </si>
  <si>
    <t xml:space="preserve">carry out assessments on learning outcomes annually </t>
  </si>
  <si>
    <t>50% of the schools develop and operationalize SIP.</t>
  </si>
  <si>
    <t xml:space="preserve">a minimum of 3 CEC meetings conducted annually  on learning outcomes carried out. </t>
  </si>
  <si>
    <t xml:space="preserve"># teaching staff and non teaching staff getting salary on monthly basis </t>
  </si>
  <si>
    <t xml:space="preserve">2.3.1.1 Conduct supervision/ mentoring of teachers to increase contact hours for teaching of students.  </t>
  </si>
  <si>
    <t>2.3.1.2 Introduce catch up programmes in 20% of government supported classrooms</t>
  </si>
  <si>
    <t xml:space="preserve">2.3.1.3 Establish and carry out assessment of student learning outcomes on an annual basis. </t>
  </si>
  <si>
    <t xml:space="preserve">2.3.2.1 Introduce and operationalize school improvement plans </t>
  </si>
  <si>
    <t xml:space="preserve">2.3.2.2 Organize  CEC meetings, and other  with parents fora, to follow up student learning outcomes. </t>
  </si>
  <si>
    <t>2.3.2.3continue the payment primary staff salary</t>
  </si>
  <si>
    <t>Somaliland Education sector Implementation  Action Plan 2017-2021</t>
  </si>
  <si>
    <t xml:space="preserve">Priority Objective 3.1: Increase Access and Equity of secondary education </t>
  </si>
  <si>
    <t xml:space="preserve">3.1.1 Improve, expansion and optimize of  the number of secondary schools and classrooms, while targeting disadvantaged students </t>
  </si>
  <si>
    <t>3.1.2 Equitably train, recruit, and distribute teachers to ensure the learning of children in rural areas is supported</t>
  </si>
  <si>
    <t>Priority Objective 3. 2: Improve the Quality and Relevance of Secondary Education</t>
  </si>
  <si>
    <t xml:space="preserve">3.2.1 Train  teachers in order to meet student's academic  needs  </t>
  </si>
  <si>
    <t>3.2.2 Provide adequate and relevant  teaching and learning materials  for secondary schools including special needs</t>
  </si>
  <si>
    <t xml:space="preserve">Secondary school curriculum reviewed </t>
  </si>
  <si>
    <t>Priority Objective 3.3 : Improve Internal and External Efficiency of the Secondary Subsector</t>
  </si>
  <si>
    <t>3.3.1 Promote students survival and transition rates</t>
  </si>
  <si>
    <t>3.3.2 Develop school  Improvement Plans to improve  achievement of students’ academic quality</t>
  </si>
  <si>
    <t>4.1.1 Expand  NFE centers  and classrooms</t>
  </si>
  <si>
    <t xml:space="preserve">4.1.2 Develop and provide appropriate teaching learning material  for adult education  </t>
  </si>
  <si>
    <t xml:space="preserve">4.1.3 Recruit and  provide remuneration of NFE teachers for NFE centers  </t>
  </si>
  <si>
    <t xml:space="preserve">4.2.1 Provide teacher training  to meet NFE  academic  needs  </t>
  </si>
  <si>
    <t xml:space="preserve">4.2.2 Provide adequate and relevant NFE teaching and learning materials.  </t>
  </si>
  <si>
    <t>4.3.1 Increase retention and promotion in NFE facilities</t>
  </si>
  <si>
    <t>Assessment report in place.</t>
  </si>
  <si>
    <t>Conduct capacity building for teachers in life skills training and income generation activities for learners</t>
  </si>
  <si>
    <t xml:space="preserve">Improve and Promote   access and equity to TVET                           </t>
  </si>
  <si>
    <t xml:space="preserve">5.1.1 Expand TVET centers to  main regions </t>
  </si>
  <si>
    <t>5.1.2 Promote gender equity in TVET centers, with special attention for girl’s enrollment   .</t>
  </si>
  <si>
    <t>5.1.3 Implement market demanded EBTVET and IBTEVET</t>
  </si>
  <si>
    <t>5.2.1 Strengthen capacity of existing TVET centers to deliver quality training</t>
  </si>
  <si>
    <t xml:space="preserve">5.2.2 Adopt highly specialized advanced technical skills for learners </t>
  </si>
  <si>
    <t xml:space="preserve">5.2.3 Enhance the quality and  relevance  of  TVET through training of instructors and center managers </t>
  </si>
  <si>
    <t xml:space="preserve">5.2.4 Improve the relevance and quality of TVET curriculum by adapting and Implementing competency based curriculum </t>
  </si>
  <si>
    <t>5.3.1 Standardize and improve assessment and certification of TVET trainees.</t>
  </si>
  <si>
    <t xml:space="preserve">5.3.2 Prepare TVET  graduates for employability in the  labor  market  </t>
  </si>
  <si>
    <t xml:space="preserve">6.1.1 Increase enrolment  with an emphasis of girls </t>
  </si>
  <si>
    <t xml:space="preserve">6.2.1 Develop and enforce HE key policy documents and guidelines including quality assurance </t>
  </si>
  <si>
    <t>Degree programmes operational with emphasis on entrepreneurial production in marine resources, livestock By products, agriculture, food  processing and solar energy</t>
  </si>
  <si>
    <t>Current situation is reviewed and policy is operational to harmonize curriculum framework</t>
  </si>
  <si>
    <t>Policy is developed and made operational to  merge universities</t>
  </si>
  <si>
    <t>6.3.1 Improve capacities of Directorate staff</t>
  </si>
  <si>
    <t>Priority Objective 7.1:  Improve and strengthen governance and Capacity  development for MOEHS system</t>
  </si>
  <si>
    <t>7.1.1  Strengthen regulatory environment for the sector</t>
  </si>
  <si>
    <t>7.1.2 Strengthen organizational capacity of the ministry of education</t>
  </si>
  <si>
    <t>7.1.3 Strengthen capacity of staff to delivery effective services</t>
  </si>
  <si>
    <t>By 2018, needs assessment completed and used to shape capacity development programme</t>
  </si>
  <si>
    <t>Provide targeted training to upgrade the technical competence of selected staff.</t>
  </si>
  <si>
    <t>7.2.1 Upgrade curriculum centre physical facilities and resources</t>
  </si>
  <si>
    <t>7.2.2 Increase human resource capacities of the curriculum centre</t>
  </si>
  <si>
    <t>Recruit a team of subject panelist and curriculum developers to build capacities of the Curriculum Institute.</t>
  </si>
  <si>
    <t>7.3.1 Establish the Somaliland National College of Education</t>
  </si>
  <si>
    <t xml:space="preserve">7.4.1 Strengthen Education Management Information System (EMIS) </t>
  </si>
  <si>
    <t> Annually EMIS reports distributed to subnational offices</t>
  </si>
  <si>
    <t> Annually school management records updated</t>
  </si>
  <si>
    <t>7.5.1 Strengthen the policy framework for decentralization of education services</t>
  </si>
  <si>
    <t>7.5.2 Expand education decentralization service delivery for new district councils with JPLG</t>
  </si>
  <si>
    <t> By 2019, capacity assessment completed and used to inform decentralization policy</t>
  </si>
  <si>
    <t xml:space="preserve">7.6.1 Strengthen the capacity of Somaliland National Examination board  </t>
  </si>
  <si>
    <t>By the end of 2021,  100% of learners sit national Examinations and reports disseminated publicly</t>
  </si>
  <si>
    <t>By the end of 2021,  exam halls will be constructed and fully furnished</t>
  </si>
  <si>
    <t>By the end of 2021, eastern regions Exam centre in Buroa</t>
  </si>
  <si>
    <t xml:space="preserve">By the end of 2021, all regions participated in capacity building sessions on fraud and cheating. </t>
  </si>
  <si>
    <t>7.6.2 Strengthen data management systems of examination board</t>
  </si>
  <si>
    <t>By the end of 2021, five formative assessment should be conducted</t>
  </si>
  <si>
    <t>By the end of 2021, 17 subject experts in place and 1 central Data Bank established.</t>
  </si>
  <si>
    <t>Ensure that children access education in safe and protected learning environments in situations of emergency</t>
  </si>
  <si>
    <t>7.7.1 Strengthen resilience of education system to ensure continuation of education services before, during and after the emergencies.</t>
  </si>
  <si>
    <t xml:space="preserve">7.7.2 Conduct social mobilization campaign, and establish a coordination mechanism for Education in Emergency.   </t>
  </si>
  <si>
    <t xml:space="preserve">Secondary </t>
  </si>
  <si>
    <t>NFE</t>
  </si>
  <si>
    <t>TVET</t>
  </si>
  <si>
    <t xml:space="preserve">Higher Education </t>
  </si>
  <si>
    <t>ECE</t>
  </si>
  <si>
    <t>MOEHS, GIZ , NGO consotium</t>
  </si>
  <si>
    <t xml:space="preserve">Two massive public awareness raising conducted </t>
  </si>
  <si>
    <t>30 secondry schools constructed and operational  across the regions of Somaliland  10 schools 2018, 5 schools 2019, 5 chools 2020, 10 schools 2021</t>
  </si>
  <si>
    <t>75 classrooms renovated and furnished</t>
  </si>
  <si>
    <t xml:space="preserve">10 GFS constructed and functional in ten secondary schools </t>
  </si>
  <si>
    <t>500 females provided with scholarships</t>
  </si>
  <si>
    <t xml:space="preserve">3.1.1.1  Conduct awareness raising campaigns of the importance of secondary school education  in the community </t>
  </si>
  <si>
    <t xml:space="preserve">3.1.1.2  Construct new secondary school in the six regions </t>
  </si>
  <si>
    <t>3.1.1.3   Renovate  and furnish 500 classes  including  water and toilet facilities for the target schools  in the six regions (500*$3,000)</t>
  </si>
  <si>
    <t xml:space="preserve">50% of the parents and Madrassas reached  through awareness raising compaing on the media </t>
  </si>
  <si>
    <t>100 teachers recruited and provided with allowances including hardship for rural areas</t>
  </si>
  <si>
    <t xml:space="preserve">3.1.1.3 Construct girl friendly spaces in ten (10) secondary schools  across the country </t>
  </si>
  <si>
    <t xml:space="preserve">3.1.1.4  Generate scholarships for 500 female secondary students  from marginalized communities including special needs </t>
  </si>
  <si>
    <t>3.1.2.1  Recruit and provide hardship allowance to 100 qualified secondary school teachers of mathematics, chemistry, biology and physics, language and social science annually.</t>
  </si>
  <si>
    <t xml:space="preserve">3.2.1.1  Provide annual in service  training for secondary teachers on subject matter and pedagogy to 200 teachers per year  </t>
  </si>
  <si>
    <t xml:space="preserve">1196 secondary teachers trained and certified </t>
  </si>
  <si>
    <t>3.2.1.2   Conduct school monitoring and supervision and mentoring of teachers on a quarterly basis.</t>
  </si>
  <si>
    <t xml:space="preserve">20  school supervision visits and monitoring  conducted </t>
  </si>
  <si>
    <t>3.2.1.3  Recruit 100 qualified secondary school teachers of mathematics, chemistry, biology and physics, language and social science annually.</t>
  </si>
  <si>
    <t>3.2.2.1   Review the national curriculum for secondary education, and improve its relevance and delivery taking into account matters of gender, special needs and vulnerable children (including development of teachers guides)</t>
  </si>
  <si>
    <t xml:space="preserve">80 schools provided with textbooks and supplementary materials </t>
  </si>
  <si>
    <t xml:space="preserve">3.2.2.2   Procure sufficient learning materials including, language and social science text books, science equipment’s and supplementary reading material to 80 secondary schools. </t>
  </si>
  <si>
    <t xml:space="preserve"> 2958 recruited and working in schools while esisting once are maitained </t>
  </si>
  <si>
    <t xml:space="preserve">EU, UNICEF, MoE&amp;HS, USAID, GPE, </t>
  </si>
  <si>
    <t xml:space="preserve">3.3.1.1.  Organize meetings and  orient parents, CECs to follow up student learning outcomes By organize monthly meetings with teachers </t>
  </si>
  <si>
    <t xml:space="preserve">120 CECs have capacity to monitor students learning at comes and reports documented </t>
  </si>
  <si>
    <t xml:space="preserve">1000 schools monitored three times a year by quaity assurance officers </t>
  </si>
  <si>
    <t xml:space="preserve">700 schools  have conducted formative assessments. Similar to the format of the summative </t>
  </si>
  <si>
    <t xml:space="preserve">Improve the Quality and Relevance NFE </t>
  </si>
  <si>
    <t xml:space="preserve"> Improve Internal and External Efficiency of the NFE</t>
  </si>
  <si>
    <t xml:space="preserve"> Improve quality and relevance of higher education in Somaliland</t>
  </si>
  <si>
    <t xml:space="preserve"> Improve internal and external efficiency of HE</t>
  </si>
  <si>
    <t xml:space="preserve"> Implement reliable and effective annual national Examinations.    </t>
  </si>
  <si>
    <t xml:space="preserve"> Build the institutional capacity of curriculum centre</t>
  </si>
  <si>
    <t xml:space="preserve"> Establish full functioning of  Somaliland  National College of  education </t>
  </si>
  <si>
    <t xml:space="preserve"> Promote and  Maintain evidence based   EMIS  Data for all  education subsectors </t>
  </si>
  <si>
    <t>Decentralize primary education functions to the local governments</t>
  </si>
  <si>
    <t xml:space="preserve">  Increase equitable access to higher education in Somaliland</t>
  </si>
  <si>
    <t xml:space="preserve"> Enhance quality &amp; relevance of TVET trades and strengthen capacity of TVET/TVQA Staff     </t>
  </si>
  <si>
    <t xml:space="preserve">Encrease Access and Equity of NFE </t>
  </si>
  <si>
    <t xml:space="preserve">  Improve Internal and External Efficiency of TVET                                                                                                                 </t>
  </si>
  <si>
    <t xml:space="preserve">all school implement school level formative assessment, based on assesment approaches in the curriculum framework </t>
  </si>
  <si>
    <t xml:space="preserve">improved firls perfomance and confidence in all publiuc secondary schools </t>
  </si>
  <si>
    <t xml:space="preserve">55% of schools with functional improvement plans. </t>
  </si>
  <si>
    <t>90 classrooms constructed and furnished</t>
  </si>
  <si>
    <t>102 classrooms renovated and furnished</t>
  </si>
  <si>
    <t>60% of schools/classrooms rehabilitated</t>
  </si>
  <si>
    <t xml:space="preserve">50% adult learners  get access to supplementary material </t>
  </si>
  <si>
    <t>50% of adult learners access TLMs</t>
  </si>
  <si>
    <t xml:space="preserve"> 100 facilitators recruited and start teaching adult education programs </t>
  </si>
  <si>
    <t>50% of  NFE centres supervised 3 times</t>
  </si>
  <si>
    <t xml:space="preserve">3.3,1,2 Improve   student teaching and  learning By strictly following contact hours and strength quality assurance process at school level   </t>
  </si>
  <si>
    <t>3.3.1.3  Implement school level formative assessment in 50% of classrooms.</t>
  </si>
  <si>
    <t xml:space="preserve">3.3.1.4  Introduce afternoon  remedial schools programmes </t>
  </si>
  <si>
    <t>3.3.1.5  Standardize and strengthen student assessment mechanisms / systems to measure learning outcomes</t>
  </si>
  <si>
    <t xml:space="preserve">3.3.2.1  Introduce and operationalize school improvement plans </t>
  </si>
  <si>
    <t xml:space="preserve">4.1.1.1 Construct , furnish and equip  90 classes  including  Family life center  facilities  </t>
  </si>
  <si>
    <t xml:space="preserve">4.1.1.2  Renovate  102 NFE classes  including  water and  toilet facilities for the target centers across the regions  </t>
  </si>
  <si>
    <t>4.1.1.3   Improve infrastructure of existing primary schools through rehabilitation projects</t>
  </si>
  <si>
    <t>4.1.2.1  Procure appropriate teaching and learning material to  all (FLECS centers )</t>
  </si>
  <si>
    <t>4.1.2.2  Procure and distribute TLMs to accommodate adult learners</t>
  </si>
  <si>
    <t xml:space="preserve">4.1.3.1   Recruit and remunerate  100 new NFE teachers </t>
  </si>
  <si>
    <t>4.1.3.2   Recruit adult literacy facilitators.</t>
  </si>
  <si>
    <t>657 NFE instructors  trained</t>
  </si>
  <si>
    <t xml:space="preserve">4.2.1.1   Provide  training on functional literacy and skills for life to  657 NFE instructors  </t>
  </si>
  <si>
    <t>4.2.1.2  Strengthen  supervision and quality assurance process for adult education (NFE)</t>
  </si>
  <si>
    <t xml:space="preserve">4.2.2.1  Develop  and harmonize,  NFE  curriculum to incorporate culturally relevant material for NFE </t>
  </si>
  <si>
    <t xml:space="preserve">4.2.2.2    Provide sufficient learning materials    to  all NFE learners including FLECS </t>
  </si>
  <si>
    <t>4.3.1.1  Standardize and improve  student assessment mechanisms / systems to measure learning outcomes</t>
  </si>
  <si>
    <t>4.3.1.2  Increase  NFE learners teaching and learning contact hours   </t>
  </si>
  <si>
    <t>4.3.1.3 Conduct capacity building for teachers in life skills training and income generation activities for learners</t>
  </si>
  <si>
    <t xml:space="preserve">5.1.1.1 Establish and operationalize new three technical Secondary school in 3 regions  </t>
  </si>
  <si>
    <t xml:space="preserve">3 secondary technical schools equipped and functional. </t>
  </si>
  <si>
    <t>5.1.1.2  Enroll 360 trainees into the  new established  technical schools annually</t>
  </si>
  <si>
    <t>5.1.1.3   Provide learning materials to established technical secondary schools</t>
  </si>
  <si>
    <t>5.1.1.4  Provide institutional based and enterprise based trainings to 50 disabled and special needs trainees annually</t>
  </si>
  <si>
    <t xml:space="preserve">about 325 students complete the training sucessfylly </t>
  </si>
  <si>
    <t xml:space="preserve">all the functional technical secondary schools have got adequate learning materials.  </t>
  </si>
  <si>
    <t>50 people with disabilities benefited from enterprise based trainings.</t>
  </si>
  <si>
    <t xml:space="preserve">gender parity in relation to TVET access will reach .06 </t>
  </si>
  <si>
    <t xml:space="preserve"> 70%  with minimum IT literacy skills   </t>
  </si>
  <si>
    <t xml:space="preserve">80% of functional public Technical institutes have got adequate and relevant equipment and tools for each Course. </t>
  </si>
  <si>
    <t>5.1.2.5  Introduce highly marketable female  friendly courses and provide female friendly leaning environment</t>
  </si>
  <si>
    <t>5.1.3.1 Provide institutional-based training and enterprise-based  training to 300 trainees annually</t>
  </si>
  <si>
    <t>5.2.1.1 Strengthen TVET center personnel capabilities to procure equipment and machines through trainings and system development (Procure advanced TVET machines and tools relevant to TVET curricula and repair old machines; Renovate and rehabilitate public TVET institutes).</t>
  </si>
  <si>
    <t>5.2.1.2  Undertake extensive labor market survey to determine advanced and highly employable skills trainings.</t>
  </si>
  <si>
    <t>52.3.1  Establish TVET instructors’ training department TVET/TVQA departments.</t>
  </si>
  <si>
    <t xml:space="preserve">5.2.3.2  Train and produce 200 highly skilled TVET instructors. </t>
  </si>
  <si>
    <t>5.2.3.2  Upgrade capacity of TVET center staff through on-the-job training.</t>
  </si>
  <si>
    <t>5.2.3.3  Register, assess and accredit TVET centers/Institutes</t>
  </si>
  <si>
    <t xml:space="preserve">5.2.3.4  Develop Competence-based Curriculum and implement for all levels. </t>
  </si>
  <si>
    <t>5.2.3.5  Provide on-the-job training and take study tour to TVET staff of MOE&amp;HS</t>
  </si>
  <si>
    <t>5.3.1.1  Train public TVET examiners and assessors.</t>
  </si>
  <si>
    <t>5.3.1.2   Establish and operationalize TVET examination unit under SLNECB.</t>
  </si>
  <si>
    <t xml:space="preserve">5.3.1.3 Strengthen/Develop TVET examination checklist/guideline. </t>
  </si>
  <si>
    <t>5.3.2.1  Establish employment promotion units at TVET centers.</t>
  </si>
  <si>
    <t>5.3.2.2   Collaborate with MOLSA on linkages of TVET graduates to employers for apprenticeships.</t>
  </si>
  <si>
    <t>5.3.2.3   Provide business startup capital to 120 TVET graduates.</t>
  </si>
  <si>
    <t xml:space="preserve">5.3.2.4  Pilot crowdfunding platform in collaboration with MOLSA to enhance availability of funds for business-minded TVET students. </t>
  </si>
  <si>
    <t xml:space="preserve">5.3.2.5  Remuneration/admin for TVET center and MOEHS staff (salary costs). </t>
  </si>
  <si>
    <t>5.3.2.6  Undertake  TVET tracer study</t>
  </si>
  <si>
    <t xml:space="preserve"> labor market survey completed and used to inform TVET programme design</t>
  </si>
  <si>
    <t>TVET  departments established and functioning</t>
  </si>
  <si>
    <t xml:space="preserve"> 200 TVET instructors trained</t>
  </si>
  <si>
    <t xml:space="preserve"> provided with center based TVET job training.  </t>
  </si>
  <si>
    <t xml:space="preserve"> 90% of existing TVET centers/institutes are accredited By TVQA.</t>
  </si>
  <si>
    <t>, 80% of public and private TVET centers/ institutes adapt MOE&amp;HS TVET curricula.</t>
  </si>
  <si>
    <t xml:space="preserve"> 90% of TVQA and TVET staff complete planned training</t>
  </si>
  <si>
    <t>. all TVET examinations are standardized  and  administered  By SLNECB</t>
  </si>
  <si>
    <t xml:space="preserve"> all TVET examinations are standardized  and  administered  By SLNECB</t>
  </si>
  <si>
    <t>, unites established and functioning</t>
  </si>
  <si>
    <t>workplace linkages fully established</t>
  </si>
  <si>
    <t xml:space="preserve"> pilot implemented</t>
  </si>
  <si>
    <t xml:space="preserve"> business capital provided to planned number of trainees</t>
  </si>
  <si>
    <t xml:space="preserve"> tracer studies completed as planned</t>
  </si>
  <si>
    <t>6.1.1.1  Conduct gender needs assessments for intervention</t>
  </si>
  <si>
    <t xml:space="preserve">6.1.1.2  Provide scholarship grants for 200 girls and disadvantaged students </t>
  </si>
  <si>
    <t>6.1.1.3 Develop a comprehensive survey of facility expansion needs {higher education minimum standards}</t>
  </si>
  <si>
    <t>6.2.1.1 Conduct a study on capacity gaps in University human resource</t>
  </si>
  <si>
    <t>6.2.1.2  Conduct research and support academic journals</t>
  </si>
  <si>
    <t>6.2.1.3   Develop M&amp;E framework and do regular monitoring</t>
  </si>
  <si>
    <t xml:space="preserve">6.2.1.4   Promote higher education relevance and link with national natural resource, to encourage entrepreneurship </t>
  </si>
  <si>
    <t xml:space="preserve">6.2.1.5   Implement HE minimum  standards for all HE institutions </t>
  </si>
  <si>
    <t xml:space="preserve">6.2.1.6   Adopt standard curriculum framework for Higher education and review for relevance and marketability </t>
  </si>
  <si>
    <t>6.2.1.7    Develop and implement HE policies including merging universities</t>
  </si>
  <si>
    <t>6.2.1.8  Review and prepare a plan for filling the capacity gaps in the University human resource.</t>
  </si>
  <si>
    <t>6.3.1.1  Build directorate staff capacities</t>
  </si>
  <si>
    <t>6.3.1.2    Construct and furnish the Commission of Higher Education Centre.</t>
  </si>
  <si>
    <t>6.3.1.3 Review remuneration structure for lecturers</t>
  </si>
  <si>
    <t xml:space="preserve"> 50% of  NFE harmonize,  NFE  curriculum in place </t>
  </si>
  <si>
    <t xml:space="preserve">  adult learns receive TLMs</t>
  </si>
  <si>
    <t xml:space="preserve"> 80 % of teachers comply with the minimum of contact hours per Education Policy.</t>
  </si>
  <si>
    <t xml:space="preserve"> assessments completed and used to shape policy</t>
  </si>
  <si>
    <t xml:space="preserve"> 200 scholarships granted </t>
  </si>
  <si>
    <t xml:space="preserve"> 50% of universities apply gender sensitive minimum standards </t>
  </si>
  <si>
    <t xml:space="preserve">  , all district conduct monthly monitoring visits to schools.</t>
  </si>
  <si>
    <t xml:space="preserve">  , the education sector decentralization coordination meetings </t>
  </si>
  <si>
    <t xml:space="preserve">   timely response to emergency situations </t>
  </si>
  <si>
    <t xml:space="preserve">   timely up to date rapid assessment reports </t>
  </si>
  <si>
    <t xml:space="preserve">    200 central, regional and districts MOE and trained</t>
  </si>
  <si>
    <t xml:space="preserve">  , 50% of education supplies prepositioned to response in high risk areas</t>
  </si>
  <si>
    <t xml:space="preserve">   government mobilized and programmes emergency funds </t>
  </si>
  <si>
    <t xml:space="preserve">  , EiE is a regular agenda of the coordination meeting at the Ministry of Education </t>
  </si>
  <si>
    <t xml:space="preserve">  , 50 national EIE WG meetings held (10 per year over 5 years)</t>
  </si>
  <si>
    <t xml:space="preserve">  , 75% CECs communities sensitized on EIE management.</t>
  </si>
  <si>
    <t xml:space="preserve">  , 657 adult literacy facilitators recruited.  </t>
  </si>
  <si>
    <t xml:space="preserve">  . all TVET examinations are standardized  and  administered  By SLNECB</t>
  </si>
  <si>
    <t xml:space="preserve">  , 50% of lecturers have advanced degrees </t>
  </si>
  <si>
    <t xml:space="preserve">  , 5 research papers published </t>
  </si>
  <si>
    <t xml:space="preserve">  , all 35 Universities publish Annual Reports </t>
  </si>
  <si>
    <t xml:space="preserve">  , 3 universities or constituent colleges merged.</t>
  </si>
  <si>
    <t xml:space="preserve">  , Capacity Assessment reports prepared and recommendations implemented. </t>
  </si>
  <si>
    <t xml:space="preserve">  , 80% of the university faculty received planned training.</t>
  </si>
  <si>
    <t xml:space="preserve">  , the construction and furnishing of the Office of  Commission of completed and building functional</t>
  </si>
  <si>
    <t xml:space="preserve">  , remuneration structure for lecturers harmonized</t>
  </si>
  <si>
    <t xml:space="preserve">    20 ,  policies , manuals, and guidelines are functional and in place </t>
  </si>
  <si>
    <t xml:space="preserve">  , all the required manuals are printed, and distributed for use.</t>
  </si>
  <si>
    <t xml:space="preserve">   at least 70% of MOEHS staff received HRM information </t>
  </si>
  <si>
    <t xml:space="preserve">   capacity building strategy operational </t>
  </si>
  <si>
    <t xml:space="preserve">     70 of HODs management capacity improved </t>
  </si>
  <si>
    <t xml:space="preserve">   30 MOEHS Officials  acquired technical knowledge </t>
  </si>
  <si>
    <t xml:space="preserve">    well equipped curriculum institute in place </t>
  </si>
  <si>
    <t xml:space="preserve">    Curriculum institute constructed ,fully equipped and functional</t>
  </si>
  <si>
    <t xml:space="preserve">   all required curriculum specialists Available </t>
  </si>
  <si>
    <t xml:space="preserve">    National teacher training institute constructed ,fully equipped and functional</t>
  </si>
  <si>
    <t xml:space="preserve">   primary education service delivery  contribution of Local government increased  to 10% </t>
  </si>
  <si>
    <t xml:space="preserve">  , a framework for domestic financing of education services is operational.</t>
  </si>
  <si>
    <t xml:space="preserve">  , all 14 districts are benefiting from decentralization policy.  </t>
  </si>
  <si>
    <t xml:space="preserve">Evidence based EMIS system  in place and functional </t>
  </si>
  <si>
    <t>All districts have functioning EMIS systems in place</t>
  </si>
  <si>
    <t>7.1.1.1   Review and harmonize all existing policies, and operationalize the policies.</t>
  </si>
  <si>
    <t>7.1.2.1 Develop all Education subsectors manuals and guidelines for management and operations</t>
  </si>
  <si>
    <t>7.1.3.1  Carry out HRD needs assessment and competencies at all levels of the management system (central down to school)</t>
  </si>
  <si>
    <t>7.1.3.2 Organize  HRM orientation for MOEHS staff</t>
  </si>
  <si>
    <t>7.1.3.3  Develop long-term, on-going capacity building strategy for staff at all levels based on the capacity gaps assessment report</t>
  </si>
  <si>
    <t xml:space="preserve">7.1.3.4   Recruit Local and international technical advisors for NFE, planning, teacher training, curriculum, TVET and Quality assurance, and a Chief Technical Advisor for Higher Education. </t>
  </si>
  <si>
    <t>7.1.3.5  Remuneration/basic pay for MOEHE staff (salary and allowances).</t>
  </si>
  <si>
    <t>7.1.3.6   MOEHS admin and recurrent annual costs</t>
  </si>
  <si>
    <t>7.2.1.1.Provide essential equipment's and material for printing facilities.</t>
  </si>
  <si>
    <t>7.2.1.2 Renovate and expand the curriculum Institute with adequate working space.</t>
  </si>
  <si>
    <t>7.2.2.1   Recruit and train subject specialists for all education subsectors</t>
  </si>
  <si>
    <t xml:space="preserve">7.3.1.1  Complete and implement   SNCE  master plan </t>
  </si>
  <si>
    <t>7.4.1.1  Collect  EMIS data  on yearly basis for  education subsectors (rolling out)</t>
  </si>
  <si>
    <t xml:space="preserve">7.4.1.2  Decentralize the EMIS system including training of education personnel at subnational level </t>
  </si>
  <si>
    <t>7.4.1.3   Print and disseminate EMIS report to  all subnational education offices</t>
  </si>
  <si>
    <t xml:space="preserve">7.4.1.4   Update school management records </t>
  </si>
  <si>
    <t>7.5.1.1  Develop regulatory framework for decentralizing education services</t>
  </si>
  <si>
    <t>7.5.1.2  Develop framework for local government revenue generation for domestic financing of education services</t>
  </si>
  <si>
    <t>7.5.2.1  Select pilot district councils to implement  decentralized education functions</t>
  </si>
  <si>
    <t>7.5.2.2  Conduct capacity assessment for district councils</t>
  </si>
  <si>
    <t>7.5.2.3   Conduct monitoring and oversight for primary education decentralized functions to the local governments</t>
  </si>
  <si>
    <t xml:space="preserve">7.5.2.4  Conduct education sector decentralization coordination meetings </t>
  </si>
  <si>
    <t>7.6.1.1   Conduct examinations and produce annual reports</t>
  </si>
  <si>
    <t>7.6.1.2  Construct and furnish two Exam setting exam halls, data room for exam center.</t>
  </si>
  <si>
    <t>7.6.1.3 Construct and furnish eastern regions exam center in Buroa</t>
  </si>
  <si>
    <t>7.6.1.4  Conduct country-wide awareness raising on exam cheating and fraud</t>
  </si>
  <si>
    <t>7.6.2.1  Update evaluation system so that formative examinations form a component of overall final student learning assessments, rather than relying only on one data point (i.e. final exams)</t>
  </si>
  <si>
    <t xml:space="preserve">7.6.2.2 Establish Exam Data Bank, permanent subject heads and experts </t>
  </si>
  <si>
    <t>7.6.2.3  Remuneration for MOE&amp;HS exam center technical and management team (staff salary costs).</t>
  </si>
  <si>
    <t>7.7.1.1  Develop and review education in emergency comprehensive contingency plan including capacity development on school safety</t>
  </si>
  <si>
    <t xml:space="preserve">7.7.1.2  Conduct rapid education in emergency assessment </t>
  </si>
  <si>
    <t xml:space="preserve">7.7.1.3  Provide EIE training for MOE staff at all levels  </t>
  </si>
  <si>
    <t>7.7.1.4 Preposition a package of education supplies for education in emergency</t>
  </si>
  <si>
    <t>7.7.1.5 Provide contingency funds for EiE</t>
  </si>
  <si>
    <t xml:space="preserve">7.7.2.1 Establish strong education in emergency coordination system with in ESC, government, and actors. </t>
  </si>
  <si>
    <t>7.7.2.2  Conduct regular education in emergency coordination meetings with cluster partners.</t>
  </si>
  <si>
    <t>7.7.2.3 Advocate and raise awareness to CEC, Head teachers, and communities</t>
  </si>
  <si>
    <t>1.1.2.2 Recruit and train 300   ECE teachers (70% female)</t>
  </si>
  <si>
    <t xml:space="preserve">1.2.1.1  Update and distribute  ECE teaching learning Material </t>
  </si>
  <si>
    <t>1.3.1.2 Develop ECE curriculum framework and minimum standards for ECE facilities for national roll-out</t>
  </si>
  <si>
    <t xml:space="preserve">PHARO Foudation /MOE&amp;HS/SOS/ Private Schools </t>
  </si>
  <si>
    <t>Total cost for 2017</t>
  </si>
  <si>
    <t>Q1</t>
  </si>
  <si>
    <t>Q2</t>
  </si>
  <si>
    <t>Q4</t>
  </si>
  <si>
    <t>Q3</t>
  </si>
  <si>
    <t>Total cost for 2019</t>
  </si>
  <si>
    <t>total cost for 2020</t>
  </si>
  <si>
    <t>Total cost for 2021</t>
  </si>
  <si>
    <t>X</t>
  </si>
  <si>
    <t xml:space="preserve"> the education sector decentralization coordination meetings </t>
  </si>
  <si>
    <t>All district conduct monthly monitoring visits to schools.</t>
  </si>
  <si>
    <t>Total cost 2018</t>
  </si>
  <si>
    <t>EARLY CHILDHOOD EDUCATION</t>
  </si>
  <si>
    <t>PRIMARY EDUCATION</t>
  </si>
  <si>
    <t>SECONDARY EDUCATION</t>
  </si>
  <si>
    <t>NON-FORMAL EDUCATION</t>
  </si>
  <si>
    <t>HIGHER EDUCATION</t>
  </si>
  <si>
    <t xml:space="preserve">GOVERNANCE </t>
  </si>
  <si>
    <t xml:space="preserve"> the construction and furnishing of the Office of  Commission of completed and building functional</t>
  </si>
  <si>
    <t>remuneration structure for lecturers harmonized</t>
  </si>
  <si>
    <t>80% of the university faculty received planned training.</t>
  </si>
  <si>
    <t xml:space="preserve">Capacity Assessment reports prepared and recommendations implemented. </t>
  </si>
  <si>
    <t>3 universities or constituent colleges merged.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</si>
</sst>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&quot;$&quot;#,##0"/>
    <numFmt numFmtId="165" formatCode="&quot;$&quot;#,##0.00"/>
    <numFmt numFmtId="166" formatCode="_([$$-409]* #,##0.00_);_([$$-409]* \(#,##0.00\);_([$$-409]* &quot;-&quot;??_);_(@_)"/>
  </numFmts>
  <fonts count="2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name val="Arial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000000"/>
      <name val="Arial"/>
      <family val="2"/>
    </font>
    <font>
      <sz val="11"/>
      <color rgb="FF000000"/>
      <name val="Arial"/>
      <family val="2"/>
    </font>
    <font>
      <sz val="12"/>
      <color rgb="FFFF0000"/>
      <name val="Arial"/>
      <family val="2"/>
    </font>
    <font>
      <b/>
      <sz val="11"/>
      <name val="Arial"/>
      <family val="2"/>
    </font>
    <font>
      <b/>
      <sz val="11"/>
      <color theme="1"/>
      <name val="Arial"/>
      <family val="2"/>
    </font>
    <font>
      <sz val="11"/>
      <color theme="1"/>
      <name val="Arial"/>
      <family val="2"/>
    </font>
    <font>
      <sz val="11"/>
      <name val="Arial"/>
      <family val="2"/>
    </font>
    <font>
      <sz val="11"/>
      <color rgb="FFFF0000"/>
      <name val="Arial"/>
      <family val="2"/>
    </font>
    <font>
      <sz val="11"/>
      <color theme="1"/>
      <name val="Cambria"/>
      <family val="1"/>
    </font>
    <font>
      <b/>
      <sz val="14"/>
      <color theme="1"/>
      <name val="Calibri"/>
      <family val="2"/>
      <scheme val="minor"/>
    </font>
    <font>
      <b/>
      <sz val="14"/>
      <name val="Arial"/>
      <family val="2"/>
    </font>
    <font>
      <b/>
      <sz val="14"/>
      <color rgb="FFFF0000"/>
      <name val="Arial"/>
      <family val="2"/>
    </font>
    <font>
      <b/>
      <sz val="12"/>
      <name val="Arial"/>
      <family val="2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rgb="FF000000"/>
      <name val="Arial"/>
      <family val="2"/>
    </font>
    <font>
      <sz val="16"/>
      <color rgb="FF000000"/>
      <name val="Arial"/>
      <family val="2"/>
    </font>
    <font>
      <b/>
      <sz val="24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14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8" tint="0.79998168889431442"/>
        <bgColor indexed="64"/>
      </patternFill>
    </fill>
  </fills>
  <borders count="4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rgb="FF000000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317">
    <xf numFmtId="0" fontId="0" fillId="0" borderId="0" xfId="0"/>
    <xf numFmtId="164" fontId="2" fillId="3" borderId="7" xfId="0" applyNumberFormat="1" applyFont="1" applyFill="1" applyBorder="1" applyAlignment="1">
      <alignment horizontal="right" vertical="center" wrapText="1"/>
    </xf>
    <xf numFmtId="0" fontId="3" fillId="4" borderId="9" xfId="0" applyFont="1" applyFill="1" applyBorder="1"/>
    <xf numFmtId="0" fontId="3" fillId="4" borderId="10" xfId="0" applyFont="1" applyFill="1" applyBorder="1"/>
    <xf numFmtId="0" fontId="3" fillId="4" borderId="11" xfId="0" applyFont="1" applyFill="1" applyBorder="1"/>
    <xf numFmtId="0" fontId="4" fillId="4" borderId="14" xfId="0" applyFont="1" applyFill="1" applyBorder="1"/>
    <xf numFmtId="0" fontId="6" fillId="2" borderId="4" xfId="0" applyFont="1" applyFill="1" applyBorder="1" applyAlignment="1">
      <alignment vertical="center" wrapText="1"/>
    </xf>
    <xf numFmtId="0" fontId="6" fillId="0" borderId="4" xfId="0" applyFont="1" applyBorder="1" applyAlignment="1">
      <alignment vertical="center" wrapText="1"/>
    </xf>
    <xf numFmtId="0" fontId="6" fillId="2" borderId="5" xfId="0" applyFont="1" applyFill="1" applyBorder="1" applyAlignment="1">
      <alignment vertical="center" wrapText="1"/>
    </xf>
    <xf numFmtId="0" fontId="6" fillId="2" borderId="4" xfId="0" applyFont="1" applyFill="1" applyBorder="1" applyAlignment="1">
      <alignment horizontal="justify"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vertical="center" wrapText="1"/>
    </xf>
    <xf numFmtId="0" fontId="2" fillId="3" borderId="7" xfId="0" applyFont="1" applyFill="1" applyBorder="1" applyAlignment="1">
      <alignment horizontal="justify" vertical="center" wrapText="1"/>
    </xf>
    <xf numFmtId="164" fontId="7" fillId="3" borderId="7" xfId="0" applyNumberFormat="1" applyFont="1" applyFill="1" applyBorder="1" applyAlignment="1">
      <alignment horizontal="right" vertical="center" wrapText="1"/>
    </xf>
    <xf numFmtId="0" fontId="6" fillId="2" borderId="19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 wrapText="1"/>
    </xf>
    <xf numFmtId="0" fontId="6" fillId="2" borderId="6" xfId="0" applyFont="1" applyFill="1" applyBorder="1" applyAlignment="1">
      <alignment vertical="center" wrapText="1"/>
    </xf>
    <xf numFmtId="0" fontId="6" fillId="0" borderId="1" xfId="0" applyFont="1" applyBorder="1" applyAlignment="1">
      <alignment vertical="center" wrapText="1"/>
    </xf>
    <xf numFmtId="0" fontId="6" fillId="2" borderId="1" xfId="0" applyFont="1" applyFill="1" applyBorder="1" applyAlignment="1">
      <alignment vertical="center" wrapText="1"/>
    </xf>
    <xf numFmtId="0" fontId="0" fillId="0" borderId="0" xfId="0" applyFont="1"/>
    <xf numFmtId="0" fontId="8" fillId="4" borderId="12" xfId="0" applyFont="1" applyFill="1" applyBorder="1" applyAlignment="1">
      <alignment vertical="center" wrapText="1"/>
    </xf>
    <xf numFmtId="0" fontId="8" fillId="4" borderId="13" xfId="0" applyFont="1" applyFill="1" applyBorder="1" applyAlignment="1">
      <alignment vertical="center" wrapText="1"/>
    </xf>
    <xf numFmtId="1" fontId="8" fillId="4" borderId="13" xfId="0" applyNumberFormat="1" applyFont="1" applyFill="1" applyBorder="1" applyAlignment="1">
      <alignment horizontal="left" vertical="center" wrapText="1"/>
    </xf>
    <xf numFmtId="1" fontId="8" fillId="4" borderId="13" xfId="0" applyNumberFormat="1" applyFont="1" applyFill="1" applyBorder="1" applyAlignment="1">
      <alignment horizontal="center" vertical="center" wrapText="1"/>
    </xf>
    <xf numFmtId="0" fontId="10" fillId="2" borderId="7" xfId="0" applyFont="1" applyFill="1" applyBorder="1" applyAlignment="1">
      <alignment vertical="center" wrapText="1"/>
    </xf>
    <xf numFmtId="0" fontId="0" fillId="2" borderId="7" xfId="0" applyFont="1" applyFill="1" applyBorder="1" applyAlignment="1">
      <alignment vertical="center" wrapText="1"/>
    </xf>
    <xf numFmtId="164" fontId="11" fillId="3" borderId="7" xfId="0" applyNumberFormat="1" applyFont="1" applyFill="1" applyBorder="1" applyAlignment="1">
      <alignment horizontal="right" vertical="center" wrapText="1"/>
    </xf>
    <xf numFmtId="0" fontId="10" fillId="0" borderId="7" xfId="0" applyFont="1" applyBorder="1" applyAlignment="1">
      <alignment vertical="center" wrapText="1"/>
    </xf>
    <xf numFmtId="0" fontId="10" fillId="2" borderId="7" xfId="0" applyFont="1" applyFill="1" applyBorder="1" applyAlignment="1">
      <alignment horizontal="justify" vertical="center" wrapText="1"/>
    </xf>
    <xf numFmtId="164" fontId="11" fillId="3" borderId="15" xfId="0" applyNumberFormat="1" applyFont="1" applyFill="1" applyBorder="1" applyAlignment="1">
      <alignment horizontal="right" vertical="center" wrapText="1"/>
    </xf>
    <xf numFmtId="0" fontId="0" fillId="0" borderId="0" xfId="0" applyFont="1" applyBorder="1"/>
    <xf numFmtId="0" fontId="0" fillId="0" borderId="5" xfId="0" applyFont="1" applyBorder="1" applyAlignment="1">
      <alignment wrapText="1"/>
    </xf>
    <xf numFmtId="0" fontId="0" fillId="0" borderId="7" xfId="0" applyFont="1" applyBorder="1"/>
    <xf numFmtId="0" fontId="0" fillId="0" borderId="3" xfId="0" applyFont="1" applyBorder="1"/>
    <xf numFmtId="0" fontId="0" fillId="0" borderId="8" xfId="0" applyFont="1" applyBorder="1"/>
    <xf numFmtId="0" fontId="11" fillId="3" borderId="7" xfId="0" applyFont="1" applyFill="1" applyBorder="1" applyAlignment="1">
      <alignment horizontal="justify" vertical="top" wrapText="1"/>
    </xf>
    <xf numFmtId="164" fontId="12" fillId="3" borderId="7" xfId="0" applyNumberFormat="1" applyFont="1" applyFill="1" applyBorder="1" applyAlignment="1">
      <alignment horizontal="right" vertical="center" wrapText="1"/>
    </xf>
    <xf numFmtId="0" fontId="13" fillId="2" borderId="4" xfId="0" applyFont="1" applyFill="1" applyBorder="1" applyAlignment="1">
      <alignment vertical="center" wrapText="1"/>
    </xf>
    <xf numFmtId="0" fontId="13" fillId="0" borderId="0" xfId="0" applyFont="1" applyAlignment="1">
      <alignment vertical="center" wrapText="1"/>
    </xf>
    <xf numFmtId="0" fontId="11" fillId="3" borderId="7" xfId="0" applyFont="1" applyFill="1" applyBorder="1" applyAlignment="1">
      <alignment horizontal="justify" vertical="center" wrapText="1"/>
    </xf>
    <xf numFmtId="164" fontId="11" fillId="3" borderId="7" xfId="0" applyNumberFormat="1" applyFont="1" applyFill="1" applyBorder="1" applyAlignment="1">
      <alignment vertical="center" wrapText="1"/>
    </xf>
    <xf numFmtId="0" fontId="11" fillId="3" borderId="7" xfId="0" applyFont="1" applyFill="1" applyBorder="1" applyAlignment="1">
      <alignment vertical="center" wrapText="1"/>
    </xf>
    <xf numFmtId="164" fontId="11" fillId="3" borderId="7" xfId="0" applyNumberFormat="1" applyFont="1" applyFill="1" applyBorder="1" applyAlignment="1">
      <alignment vertical="top" wrapText="1"/>
    </xf>
    <xf numFmtId="0" fontId="11" fillId="3" borderId="7" xfId="0" applyFont="1" applyFill="1" applyBorder="1" applyAlignment="1">
      <alignment horizontal="left" vertical="center" wrapText="1"/>
    </xf>
    <xf numFmtId="0" fontId="8" fillId="4" borderId="22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vertical="center" wrapText="1"/>
    </xf>
    <xf numFmtId="1" fontId="8" fillId="4" borderId="15" xfId="0" applyNumberFormat="1" applyFont="1" applyFill="1" applyBorder="1" applyAlignment="1">
      <alignment horizontal="left" vertical="center" wrapText="1"/>
    </xf>
    <xf numFmtId="1" fontId="8" fillId="4" borderId="15" xfId="0" applyNumberFormat="1" applyFont="1" applyFill="1" applyBorder="1" applyAlignment="1">
      <alignment horizontal="center" vertical="center" wrapText="1"/>
    </xf>
    <xf numFmtId="0" fontId="4" fillId="4" borderId="23" xfId="0" applyFont="1" applyFill="1" applyBorder="1"/>
    <xf numFmtId="0" fontId="0" fillId="2" borderId="7" xfId="0" applyFont="1" applyFill="1" applyBorder="1" applyAlignment="1">
      <alignment vertical="top" wrapText="1"/>
    </xf>
    <xf numFmtId="0" fontId="8" fillId="4" borderId="24" xfId="0" applyFont="1" applyFill="1" applyBorder="1" applyAlignment="1">
      <alignment vertical="center" wrapText="1"/>
    </xf>
    <xf numFmtId="0" fontId="4" fillId="4" borderId="16" xfId="0" applyFont="1" applyFill="1" applyBorder="1"/>
    <xf numFmtId="0" fontId="5" fillId="2" borderId="3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164" fontId="12" fillId="3" borderId="7" xfId="0" applyNumberFormat="1" applyFont="1" applyFill="1" applyBorder="1" applyAlignment="1">
      <alignment horizontal="left" vertical="center" wrapText="1"/>
    </xf>
    <xf numFmtId="0" fontId="6" fillId="2" borderId="7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4" fillId="2" borderId="3" xfId="0" applyFont="1" applyFill="1" applyBorder="1" applyAlignment="1">
      <alignment horizontal="center" vertical="center" wrapText="1"/>
    </xf>
    <xf numFmtId="165" fontId="11" fillId="3" borderId="7" xfId="0" applyNumberFormat="1" applyFont="1" applyFill="1" applyBorder="1" applyAlignment="1">
      <alignment horizontal="right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justify" vertical="top" wrapText="1"/>
    </xf>
    <xf numFmtId="0" fontId="6" fillId="2" borderId="0" xfId="0" applyFont="1" applyFill="1" applyBorder="1" applyAlignment="1">
      <alignment vertical="center" wrapText="1"/>
    </xf>
    <xf numFmtId="164" fontId="11" fillId="3" borderId="24" xfId="0" applyNumberFormat="1" applyFont="1" applyFill="1" applyBorder="1" applyAlignment="1">
      <alignment horizontal="right" vertical="center" wrapText="1"/>
    </xf>
    <xf numFmtId="164" fontId="15" fillId="3" borderId="25" xfId="0" applyNumberFormat="1" applyFont="1" applyFill="1" applyBorder="1" applyAlignment="1">
      <alignment horizontal="right" vertical="center" wrapText="1"/>
    </xf>
    <xf numFmtId="164" fontId="15" fillId="3" borderId="26" xfId="0" applyNumberFormat="1" applyFont="1" applyFill="1" applyBorder="1" applyAlignment="1">
      <alignment horizontal="right" vertical="center" wrapText="1"/>
    </xf>
    <xf numFmtId="166" fontId="14" fillId="0" borderId="27" xfId="0" applyNumberFormat="1" applyFont="1" applyBorder="1" applyAlignment="1">
      <alignment vertical="center" wrapText="1"/>
    </xf>
    <xf numFmtId="0" fontId="5" fillId="2" borderId="0" xfId="0" applyFont="1" applyFill="1" applyBorder="1" applyAlignment="1">
      <alignment horizontal="center" vertical="center" wrapText="1"/>
    </xf>
    <xf numFmtId="164" fontId="16" fillId="3" borderId="27" xfId="0" applyNumberFormat="1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vertical="center"/>
    </xf>
    <xf numFmtId="0" fontId="1" fillId="0" borderId="0" xfId="0" applyFont="1" applyBorder="1" applyAlignment="1">
      <alignment vertical="center"/>
    </xf>
    <xf numFmtId="0" fontId="1" fillId="0" borderId="3" xfId="0" applyFont="1" applyBorder="1" applyAlignment="1">
      <alignment vertical="center"/>
    </xf>
    <xf numFmtId="0" fontId="1" fillId="0" borderId="6" xfId="0" applyFont="1" applyBorder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0" xfId="0" applyFont="1" applyAlignment="1">
      <alignment vertical="center"/>
    </xf>
    <xf numFmtId="164" fontId="0" fillId="0" borderId="0" xfId="0" applyNumberFormat="1" applyFont="1"/>
    <xf numFmtId="164" fontId="0" fillId="0" borderId="7" xfId="0" applyNumberFormat="1" applyFont="1" applyBorder="1"/>
    <xf numFmtId="0" fontId="1" fillId="0" borderId="0" xfId="0" applyFont="1" applyFill="1" applyAlignment="1">
      <alignment vertical="center"/>
    </xf>
    <xf numFmtId="0" fontId="5" fillId="0" borderId="3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vertical="center" wrapText="1"/>
    </xf>
    <xf numFmtId="0" fontId="5" fillId="0" borderId="0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vertical="center" wrapText="1"/>
    </xf>
    <xf numFmtId="164" fontId="12" fillId="3" borderId="15" xfId="0" applyNumberFormat="1" applyFont="1" applyFill="1" applyBorder="1" applyAlignment="1">
      <alignment horizontal="right" vertical="center" wrapText="1"/>
    </xf>
    <xf numFmtId="164" fontId="11" fillId="3" borderId="25" xfId="0" applyNumberFormat="1" applyFont="1" applyFill="1" applyBorder="1" applyAlignment="1">
      <alignment horizontal="right" vertical="center" wrapText="1"/>
    </xf>
    <xf numFmtId="164" fontId="11" fillId="3" borderId="26" xfId="0" applyNumberFormat="1" applyFont="1" applyFill="1" applyBorder="1" applyAlignment="1">
      <alignment horizontal="right" vertical="center" wrapText="1"/>
    </xf>
    <xf numFmtId="164" fontId="12" fillId="3" borderId="27" xfId="0" applyNumberFormat="1" applyFont="1" applyFill="1" applyBorder="1" applyAlignment="1">
      <alignment horizontal="right" vertical="center" wrapText="1"/>
    </xf>
    <xf numFmtId="0" fontId="0" fillId="0" borderId="6" xfId="0" applyFont="1" applyBorder="1"/>
    <xf numFmtId="0" fontId="5" fillId="0" borderId="5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0" fillId="0" borderId="15" xfId="0" applyFont="1" applyBorder="1"/>
    <xf numFmtId="164" fontId="1" fillId="0" borderId="21" xfId="0" applyNumberFormat="1" applyFont="1" applyBorder="1"/>
    <xf numFmtId="164" fontId="1" fillId="0" borderId="29" xfId="0" applyNumberFormat="1" applyFont="1" applyBorder="1"/>
    <xf numFmtId="164" fontId="1" fillId="0" borderId="28" xfId="0" applyNumberFormat="1" applyFont="1" applyBorder="1"/>
    <xf numFmtId="0" fontId="1" fillId="0" borderId="20" xfId="0" applyFont="1" applyBorder="1"/>
    <xf numFmtId="0" fontId="1" fillId="0" borderId="19" xfId="0" applyFont="1" applyBorder="1"/>
    <xf numFmtId="0" fontId="1" fillId="0" borderId="4" xfId="0" applyFont="1" applyBorder="1"/>
    <xf numFmtId="0" fontId="1" fillId="0" borderId="1" xfId="0" applyFont="1" applyBorder="1" applyAlignment="1">
      <alignment horizontal="center" vertical="center"/>
    </xf>
    <xf numFmtId="164" fontId="1" fillId="0" borderId="0" xfId="0" applyNumberFormat="1" applyFont="1"/>
    <xf numFmtId="0" fontId="10" fillId="2" borderId="33" xfId="0" applyFont="1" applyFill="1" applyBorder="1" applyAlignment="1">
      <alignment vertical="center" wrapText="1"/>
    </xf>
    <xf numFmtId="164" fontId="2" fillId="3" borderId="7" xfId="0" applyNumberFormat="1" applyFont="1" applyFill="1" applyBorder="1" applyAlignment="1">
      <alignment horizontal="left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0" fontId="5" fillId="2" borderId="6" xfId="0" applyFont="1" applyFill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10" fillId="2" borderId="33" xfId="0" applyFont="1" applyFill="1" applyBorder="1" applyAlignment="1">
      <alignment vertical="center" wrapText="1"/>
    </xf>
    <xf numFmtId="0" fontId="0" fillId="0" borderId="7" xfId="0" applyFont="1" applyBorder="1" applyAlignment="1">
      <alignment wrapText="1"/>
    </xf>
    <xf numFmtId="0" fontId="5" fillId="2" borderId="3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vertical="center" wrapText="1"/>
    </xf>
    <xf numFmtId="0" fontId="8" fillId="4" borderId="15" xfId="0" applyFont="1" applyFill="1" applyBorder="1" applyAlignment="1">
      <alignment horizontal="center" vertical="center" wrapText="1"/>
    </xf>
    <xf numFmtId="0" fontId="0" fillId="2" borderId="7" xfId="0" applyFont="1" applyFill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2" borderId="7" xfId="0" applyFont="1" applyFill="1" applyBorder="1" applyAlignment="1">
      <alignment horizontal="center" vertical="center" wrapText="1"/>
    </xf>
    <xf numFmtId="0" fontId="6" fillId="2" borderId="24" xfId="0" applyFont="1" applyFill="1" applyBorder="1" applyAlignment="1">
      <alignment horizontal="center" vertical="center" wrapText="1"/>
    </xf>
    <xf numFmtId="0" fontId="6" fillId="2" borderId="7" xfId="0" applyFont="1" applyFill="1" applyBorder="1" applyAlignment="1">
      <alignment horizontal="center" vertical="center" wrapText="1"/>
    </xf>
    <xf numFmtId="0" fontId="6" fillId="2" borderId="15" xfId="0" applyFont="1" applyFill="1" applyBorder="1" applyAlignment="1">
      <alignment horizontal="center" vertical="center" wrapText="1"/>
    </xf>
    <xf numFmtId="0" fontId="3" fillId="4" borderId="10" xfId="0" applyFont="1" applyFill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6" fillId="0" borderId="19" xfId="0" applyFont="1" applyBorder="1" applyAlignment="1">
      <alignment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7" xfId="0" applyFont="1" applyBorder="1" applyAlignment="1">
      <alignment vertical="center" wrapText="1"/>
    </xf>
    <xf numFmtId="0" fontId="1" fillId="0" borderId="0" xfId="0" applyFont="1"/>
    <xf numFmtId="0" fontId="11" fillId="3" borderId="15" xfId="0" applyFont="1" applyFill="1" applyBorder="1" applyAlignment="1">
      <alignment horizontal="justify" vertical="top" wrapText="1"/>
    </xf>
    <xf numFmtId="0" fontId="13" fillId="2" borderId="19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vertical="center" wrapText="1"/>
    </xf>
    <xf numFmtId="0" fontId="1" fillId="2" borderId="7" xfId="0" applyFont="1" applyFill="1" applyBorder="1" applyAlignment="1">
      <alignment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vertical="center" wrapText="1"/>
    </xf>
    <xf numFmtId="164" fontId="8" fillId="5" borderId="7" xfId="0" applyNumberFormat="1" applyFont="1" applyFill="1" applyBorder="1" applyAlignment="1">
      <alignment horizontal="right" vertical="center" wrapText="1"/>
    </xf>
    <xf numFmtId="164" fontId="11" fillId="5" borderId="7" xfId="0" applyNumberFormat="1" applyFont="1" applyFill="1" applyBorder="1" applyAlignment="1">
      <alignment horizontal="right" vertical="center" wrapText="1"/>
    </xf>
    <xf numFmtId="164" fontId="15" fillId="5" borderId="7" xfId="0" applyNumberFormat="1" applyFont="1" applyFill="1" applyBorder="1" applyAlignment="1">
      <alignment horizontal="right" vertical="center" wrapText="1"/>
    </xf>
    <xf numFmtId="164" fontId="8" fillId="5" borderId="15" xfId="0" applyNumberFormat="1" applyFont="1" applyFill="1" applyBorder="1" applyAlignment="1">
      <alignment horizontal="right" vertical="center" wrapText="1"/>
    </xf>
    <xf numFmtId="165" fontId="11" fillId="5" borderId="7" xfId="0" applyNumberFormat="1" applyFont="1" applyFill="1" applyBorder="1" applyAlignment="1">
      <alignment horizontal="right" vertical="center" wrapText="1"/>
    </xf>
    <xf numFmtId="0" fontId="0" fillId="5" borderId="7" xfId="0" applyFont="1" applyFill="1" applyBorder="1"/>
    <xf numFmtId="164" fontId="11" fillId="5" borderId="15" xfId="0" applyNumberFormat="1" applyFont="1" applyFill="1" applyBorder="1" applyAlignment="1">
      <alignment horizontal="right" vertical="center" wrapText="1"/>
    </xf>
    <xf numFmtId="164" fontId="15" fillId="5" borderId="26" xfId="0" applyNumberFormat="1" applyFont="1" applyFill="1" applyBorder="1" applyAlignment="1">
      <alignment horizontal="right" vertical="center" wrapText="1"/>
    </xf>
    <xf numFmtId="164" fontId="8" fillId="4" borderId="33" xfId="0" applyNumberFormat="1" applyFont="1" applyFill="1" applyBorder="1" applyAlignment="1">
      <alignment horizontal="right" vertical="center" wrapText="1"/>
    </xf>
    <xf numFmtId="164" fontId="8" fillId="4" borderId="24" xfId="0" applyNumberFormat="1" applyFont="1" applyFill="1" applyBorder="1" applyAlignment="1">
      <alignment horizontal="right" vertical="center" wrapText="1"/>
    </xf>
    <xf numFmtId="164" fontId="8" fillId="4" borderId="35" xfId="0" applyNumberFormat="1" applyFont="1" applyFill="1" applyBorder="1" applyAlignment="1">
      <alignment horizontal="right" vertical="center" wrapText="1"/>
    </xf>
    <xf numFmtId="164" fontId="8" fillId="4" borderId="7" xfId="0" applyNumberFormat="1" applyFont="1" applyFill="1" applyBorder="1" applyAlignment="1">
      <alignment horizontal="right" vertical="center" wrapText="1"/>
    </xf>
    <xf numFmtId="164" fontId="8" fillId="4" borderId="15" xfId="0" applyNumberFormat="1" applyFont="1" applyFill="1" applyBorder="1" applyAlignment="1">
      <alignment horizontal="right" vertical="center" wrapText="1"/>
    </xf>
    <xf numFmtId="164" fontId="8" fillId="4" borderId="26" xfId="0" applyNumberFormat="1" applyFont="1" applyFill="1" applyBorder="1" applyAlignment="1">
      <alignment horizontal="right" vertical="center" wrapText="1"/>
    </xf>
    <xf numFmtId="164" fontId="11" fillId="4" borderId="7" xfId="0" applyNumberFormat="1" applyFont="1" applyFill="1" applyBorder="1" applyAlignment="1">
      <alignment horizontal="right" vertical="center" wrapText="1"/>
    </xf>
    <xf numFmtId="164" fontId="11" fillId="4" borderId="15" xfId="0" applyNumberFormat="1" applyFont="1" applyFill="1" applyBorder="1" applyAlignment="1">
      <alignment horizontal="right" vertical="center" wrapText="1"/>
    </xf>
    <xf numFmtId="164" fontId="11" fillId="4" borderId="26" xfId="0" applyNumberFormat="1" applyFont="1" applyFill="1" applyBorder="1" applyAlignment="1">
      <alignment horizontal="right" vertical="center" wrapText="1"/>
    </xf>
    <xf numFmtId="0" fontId="1" fillId="0" borderId="7" xfId="0" applyFont="1" applyBorder="1" applyAlignment="1">
      <alignment vertical="center"/>
    </xf>
    <xf numFmtId="0" fontId="6" fillId="2" borderId="36" xfId="0" applyFont="1" applyFill="1" applyBorder="1" applyAlignment="1">
      <alignment vertical="center" wrapText="1"/>
    </xf>
    <xf numFmtId="1" fontId="8" fillId="4" borderId="37" xfId="0" applyNumberFormat="1" applyFont="1" applyFill="1" applyBorder="1" applyAlignment="1">
      <alignment horizontal="center" vertical="center" wrapText="1"/>
    </xf>
    <xf numFmtId="1" fontId="8" fillId="4" borderId="38" xfId="0" applyNumberFormat="1" applyFont="1" applyFill="1" applyBorder="1" applyAlignment="1">
      <alignment horizontal="center" vertical="center" wrapText="1"/>
    </xf>
    <xf numFmtId="0" fontId="8" fillId="4" borderId="7" xfId="0" applyFont="1" applyFill="1" applyBorder="1" applyAlignment="1">
      <alignment vertical="center" wrapText="1"/>
    </xf>
    <xf numFmtId="0" fontId="1" fillId="4" borderId="7" xfId="0" applyFont="1" applyFill="1" applyBorder="1"/>
    <xf numFmtId="0" fontId="0" fillId="4" borderId="7" xfId="0" applyFont="1" applyFill="1" applyBorder="1"/>
    <xf numFmtId="164" fontId="8" fillId="4" borderId="34" xfId="0" applyNumberFormat="1" applyFont="1" applyFill="1" applyBorder="1" applyAlignment="1">
      <alignment vertical="center" wrapText="1"/>
    </xf>
    <xf numFmtId="164" fontId="8" fillId="4" borderId="34" xfId="0" applyNumberFormat="1" applyFont="1" applyFill="1" applyBorder="1" applyAlignment="1">
      <alignment vertical="top" wrapText="1"/>
    </xf>
    <xf numFmtId="164" fontId="8" fillId="4" borderId="34" xfId="0" applyNumberFormat="1" applyFont="1" applyFill="1" applyBorder="1" applyAlignment="1">
      <alignment horizontal="right" vertical="center" wrapText="1"/>
    </xf>
    <xf numFmtId="164" fontId="11" fillId="4" borderId="34" xfId="0" applyNumberFormat="1" applyFont="1" applyFill="1" applyBorder="1" applyAlignment="1">
      <alignment vertical="center" wrapText="1"/>
    </xf>
    <xf numFmtId="164" fontId="11" fillId="4" borderId="34" xfId="0" applyNumberFormat="1" applyFont="1" applyFill="1" applyBorder="1" applyAlignment="1">
      <alignment vertical="top" wrapText="1"/>
    </xf>
    <xf numFmtId="164" fontId="11" fillId="4" borderId="34" xfId="0" applyNumberFormat="1" applyFont="1" applyFill="1" applyBorder="1" applyAlignment="1">
      <alignment horizontal="right" vertical="center" wrapText="1"/>
    </xf>
    <xf numFmtId="164" fontId="11" fillId="4" borderId="33" xfId="0" applyNumberFormat="1" applyFont="1" applyFill="1" applyBorder="1" applyAlignment="1">
      <alignment vertical="center" wrapText="1"/>
    </xf>
    <xf numFmtId="164" fontId="11" fillId="4" borderId="33" xfId="0" applyNumberFormat="1" applyFont="1" applyFill="1" applyBorder="1" applyAlignment="1">
      <alignment vertical="top" wrapText="1"/>
    </xf>
    <xf numFmtId="164" fontId="11" fillId="4" borderId="33" xfId="0" applyNumberFormat="1" applyFont="1" applyFill="1" applyBorder="1" applyAlignment="1">
      <alignment horizontal="right" vertical="center" wrapText="1"/>
    </xf>
    <xf numFmtId="164" fontId="15" fillId="4" borderId="7" xfId="0" applyNumberFormat="1" applyFont="1" applyFill="1" applyBorder="1" applyAlignment="1">
      <alignment horizontal="right" vertical="center" wrapText="1"/>
    </xf>
    <xf numFmtId="165" fontId="8" fillId="4" borderId="7" xfId="0" applyNumberFormat="1" applyFont="1" applyFill="1" applyBorder="1" applyAlignment="1">
      <alignment horizontal="right" vertical="center" wrapText="1"/>
    </xf>
    <xf numFmtId="165" fontId="11" fillId="4" borderId="7" xfId="0" applyNumberFormat="1" applyFont="1" applyFill="1" applyBorder="1" applyAlignment="1">
      <alignment horizontal="right" vertical="center" wrapText="1"/>
    </xf>
    <xf numFmtId="164" fontId="15" fillId="4" borderId="26" xfId="0" applyNumberFormat="1" applyFont="1" applyFill="1" applyBorder="1" applyAlignment="1">
      <alignment horizontal="right" vertical="center" wrapText="1"/>
    </xf>
    <xf numFmtId="0" fontId="20" fillId="0" borderId="7" xfId="0" applyFont="1" applyBorder="1"/>
    <xf numFmtId="0" fontId="20" fillId="0" borderId="0" xfId="0" applyFont="1"/>
    <xf numFmtId="0" fontId="21" fillId="0" borderId="7" xfId="0" applyFont="1" applyBorder="1"/>
    <xf numFmtId="0" fontId="22" fillId="2" borderId="7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vertical="center" wrapText="1"/>
    </xf>
    <xf numFmtId="0" fontId="23" fillId="2" borderId="7" xfId="0" applyFont="1" applyFill="1" applyBorder="1" applyAlignment="1">
      <alignment horizontal="center" vertical="center" wrapText="1"/>
    </xf>
    <xf numFmtId="164" fontId="21" fillId="0" borderId="7" xfId="0" applyNumberFormat="1" applyFont="1" applyBorder="1"/>
    <xf numFmtId="0" fontId="21" fillId="0" borderId="0" xfId="0" applyFont="1"/>
    <xf numFmtId="0" fontId="22" fillId="2" borderId="7" xfId="0" applyFont="1" applyFill="1" applyBorder="1" applyAlignment="1">
      <alignment horizontal="center" vertical="center" wrapText="1"/>
    </xf>
    <xf numFmtId="164" fontId="18" fillId="4" borderId="7" xfId="0" applyNumberFormat="1" applyFont="1" applyFill="1" applyBorder="1"/>
    <xf numFmtId="164" fontId="18" fillId="0" borderId="28" xfId="0" applyNumberFormat="1" applyFont="1" applyBorder="1"/>
    <xf numFmtId="0" fontId="14" fillId="0" borderId="0" xfId="0" applyFont="1" applyAlignment="1">
      <alignment vertical="center"/>
    </xf>
    <xf numFmtId="0" fontId="20" fillId="0" borderId="7" xfId="0" applyFont="1" applyBorder="1" applyAlignment="1">
      <alignment horizontal="center" vertical="center"/>
    </xf>
    <xf numFmtId="164" fontId="14" fillId="4" borderId="0" xfId="0" applyNumberFormat="1" applyFont="1" applyFill="1"/>
    <xf numFmtId="164" fontId="14" fillId="0" borderId="0" xfId="0" applyNumberFormat="1" applyFont="1"/>
    <xf numFmtId="164" fontId="17" fillId="4" borderId="7" xfId="0" applyNumberFormat="1" applyFont="1" applyFill="1" applyBorder="1" applyAlignment="1">
      <alignment horizontal="right" vertical="center" wrapText="1"/>
    </xf>
    <xf numFmtId="164" fontId="17" fillId="4" borderId="7" xfId="0" applyNumberFormat="1" applyFont="1" applyFill="1" applyBorder="1" applyAlignment="1">
      <alignment horizontal="left" vertical="center" wrapText="1"/>
    </xf>
    <xf numFmtId="0" fontId="8" fillId="6" borderId="15" xfId="0" applyFont="1" applyFill="1" applyBorder="1" applyAlignment="1">
      <alignment vertical="center" wrapText="1"/>
    </xf>
    <xf numFmtId="0" fontId="8" fillId="6" borderId="15" xfId="0" applyFont="1" applyFill="1" applyBorder="1" applyAlignment="1">
      <alignment horizontal="center" vertical="center" wrapText="1"/>
    </xf>
    <xf numFmtId="0" fontId="14" fillId="0" borderId="0" xfId="0" applyFont="1"/>
    <xf numFmtId="1" fontId="17" fillId="4" borderId="13" xfId="0" applyNumberFormat="1" applyFont="1" applyFill="1" applyBorder="1" applyAlignment="1">
      <alignment horizontal="left" vertical="center" wrapText="1"/>
    </xf>
    <xf numFmtId="0" fontId="17" fillId="6" borderId="15" xfId="0" applyFont="1" applyFill="1" applyBorder="1" applyAlignment="1">
      <alignment vertical="center" wrapText="1"/>
    </xf>
    <xf numFmtId="0" fontId="15" fillId="6" borderId="22" xfId="0" applyFont="1" applyFill="1" applyBorder="1" applyAlignment="1">
      <alignment vertical="center" wrapText="1"/>
    </xf>
    <xf numFmtId="0" fontId="15" fillId="6" borderId="15" xfId="0" applyFont="1" applyFill="1" applyBorder="1" applyAlignment="1">
      <alignment vertical="center" wrapText="1"/>
    </xf>
    <xf numFmtId="0" fontId="26" fillId="4" borderId="23" xfId="0" applyFont="1" applyFill="1" applyBorder="1"/>
    <xf numFmtId="1" fontId="8" fillId="6" borderId="15" xfId="0" applyNumberFormat="1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justify" vertical="center" wrapText="1"/>
    </xf>
    <xf numFmtId="0" fontId="10" fillId="0" borderId="7" xfId="0" applyFont="1" applyFill="1" applyBorder="1" applyAlignment="1">
      <alignment vertical="center" wrapText="1"/>
    </xf>
    <xf numFmtId="0" fontId="10" fillId="0" borderId="7" xfId="0" applyFont="1" applyFill="1" applyBorder="1" applyAlignment="1">
      <alignment horizontal="center" vertical="center" wrapText="1"/>
    </xf>
    <xf numFmtId="164" fontId="8" fillId="0" borderId="7" xfId="0" applyNumberFormat="1" applyFont="1" applyFill="1" applyBorder="1" applyAlignment="1">
      <alignment horizontal="right" vertical="center" wrapText="1"/>
    </xf>
    <xf numFmtId="0" fontId="0" fillId="0" borderId="7" xfId="0" applyFont="1" applyFill="1" applyBorder="1" applyAlignment="1">
      <alignment horizontal="center" vertical="center" wrapText="1"/>
    </xf>
    <xf numFmtId="164" fontId="11" fillId="0" borderId="7" xfId="0" applyNumberFormat="1" applyFont="1" applyFill="1" applyBorder="1" applyAlignment="1">
      <alignment horizontal="right" vertical="center" wrapText="1"/>
    </xf>
    <xf numFmtId="0" fontId="0" fillId="0" borderId="7" xfId="0" applyFont="1" applyFill="1" applyBorder="1" applyAlignment="1">
      <alignment wrapText="1"/>
    </xf>
    <xf numFmtId="0" fontId="0" fillId="0" borderId="0" xfId="0" applyFont="1" applyFill="1"/>
    <xf numFmtId="0" fontId="0" fillId="0" borderId="7" xfId="0" applyFont="1" applyFill="1" applyBorder="1"/>
    <xf numFmtId="0" fontId="6" fillId="0" borderId="7" xfId="0" applyFont="1" applyFill="1" applyBorder="1" applyAlignment="1">
      <alignment vertical="center" wrapText="1"/>
    </xf>
    <xf numFmtId="0" fontId="10" fillId="2" borderId="33" xfId="0" applyFont="1" applyFill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vertical="center" wrapText="1"/>
    </xf>
    <xf numFmtId="0" fontId="5" fillId="2" borderId="3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vertical="center" wrapText="1"/>
    </xf>
    <xf numFmtId="0" fontId="5" fillId="2" borderId="18" xfId="0" applyFont="1" applyFill="1" applyBorder="1" applyAlignment="1">
      <alignment vertical="center" wrapText="1"/>
    </xf>
    <xf numFmtId="0" fontId="5" fillId="2" borderId="17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19" xfId="0" applyFont="1" applyBorder="1" applyAlignment="1">
      <alignment horizontal="center"/>
    </xf>
    <xf numFmtId="0" fontId="6" fillId="2" borderId="18" xfId="0" applyFont="1" applyFill="1" applyBorder="1" applyAlignment="1">
      <alignment vertical="center" wrapText="1"/>
    </xf>
    <xf numFmtId="0" fontId="6" fillId="2" borderId="3" xfId="0" applyFont="1" applyFill="1" applyBorder="1" applyAlignment="1">
      <alignment vertical="center" wrapText="1"/>
    </xf>
    <xf numFmtId="0" fontId="6" fillId="2" borderId="17" xfId="0" applyFont="1" applyFill="1" applyBorder="1" applyAlignment="1">
      <alignment vertical="center" wrapText="1"/>
    </xf>
    <xf numFmtId="0" fontId="5" fillId="0" borderId="3" xfId="0" applyFont="1" applyFill="1" applyBorder="1" applyAlignment="1">
      <alignment vertical="center" wrapText="1"/>
    </xf>
    <xf numFmtId="0" fontId="5" fillId="0" borderId="2" xfId="0" applyFont="1" applyFill="1" applyBorder="1" applyAlignment="1">
      <alignment vertical="center" wrapText="1"/>
    </xf>
    <xf numFmtId="0" fontId="1" fillId="0" borderId="8" xfId="0" applyFont="1" applyBorder="1" applyAlignment="1">
      <alignment horizontal="left"/>
    </xf>
    <xf numFmtId="0" fontId="0" fillId="0" borderId="0" xfId="0" applyFont="1" applyBorder="1" applyAlignment="1">
      <alignment horizontal="left"/>
    </xf>
    <xf numFmtId="0" fontId="0" fillId="0" borderId="5" xfId="0" applyFont="1" applyBorder="1" applyAlignment="1">
      <alignment horizontal="left"/>
    </xf>
    <xf numFmtId="0" fontId="6" fillId="0" borderId="6" xfId="0" applyFont="1" applyBorder="1" applyAlignment="1">
      <alignment vertical="center" wrapText="1"/>
    </xf>
    <xf numFmtId="0" fontId="6" fillId="0" borderId="17" xfId="0" applyFont="1" applyBorder="1" applyAlignment="1">
      <alignment vertical="center" wrapText="1"/>
    </xf>
    <xf numFmtId="0" fontId="5" fillId="2" borderId="2" xfId="0" applyFont="1" applyFill="1" applyBorder="1" applyAlignment="1">
      <alignment vertical="center" wrapText="1"/>
    </xf>
    <xf numFmtId="0" fontId="10" fillId="2" borderId="7" xfId="0" applyFont="1" applyFill="1" applyBorder="1" applyAlignment="1">
      <alignment vertical="center" wrapText="1"/>
    </xf>
    <xf numFmtId="0" fontId="4" fillId="4" borderId="10" xfId="0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5" fillId="0" borderId="6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justify" vertical="center" wrapText="1"/>
    </xf>
    <xf numFmtId="0" fontId="6" fillId="0" borderId="3" xfId="0" applyFont="1" applyBorder="1" applyAlignment="1">
      <alignment horizontal="justify" vertical="center" wrapText="1"/>
    </xf>
    <xf numFmtId="0" fontId="6" fillId="0" borderId="17" xfId="0" applyFont="1" applyBorder="1" applyAlignment="1">
      <alignment horizontal="justify" vertical="center" wrapText="1"/>
    </xf>
    <xf numFmtId="0" fontId="9" fillId="2" borderId="15" xfId="0" applyFont="1" applyFill="1" applyBorder="1" applyAlignment="1">
      <alignment horizontal="center" vertical="center" wrapText="1"/>
    </xf>
    <xf numFmtId="0" fontId="9" fillId="2" borderId="3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1" fillId="2" borderId="31" xfId="0" applyFont="1" applyFill="1" applyBorder="1" applyAlignment="1">
      <alignment horizontal="center" vertical="center" wrapText="1"/>
    </xf>
    <xf numFmtId="0" fontId="9" fillId="2" borderId="32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 wrapText="1"/>
    </xf>
    <xf numFmtId="0" fontId="6" fillId="0" borderId="6" xfId="0" applyFont="1" applyFill="1" applyBorder="1" applyAlignment="1">
      <alignment vertical="center" wrapText="1"/>
    </xf>
    <xf numFmtId="0" fontId="6" fillId="0" borderId="2" xfId="0" applyFont="1" applyFill="1" applyBorder="1" applyAlignment="1">
      <alignment vertical="center" wrapText="1"/>
    </xf>
    <xf numFmtId="0" fontId="5" fillId="2" borderId="28" xfId="0" applyFont="1" applyFill="1" applyBorder="1" applyAlignment="1">
      <alignment vertical="center" wrapText="1"/>
    </xf>
    <xf numFmtId="0" fontId="5" fillId="2" borderId="5" xfId="0" applyFont="1" applyFill="1" applyBorder="1" applyAlignment="1">
      <alignment vertical="center" wrapText="1"/>
    </xf>
    <xf numFmtId="0" fontId="5" fillId="2" borderId="4" xfId="0" applyFont="1" applyFill="1" applyBorder="1" applyAlignment="1">
      <alignment vertical="center" wrapText="1"/>
    </xf>
    <xf numFmtId="0" fontId="6" fillId="2" borderId="21" xfId="0" applyFont="1" applyFill="1" applyBorder="1" applyAlignment="1">
      <alignment vertical="center" wrapText="1"/>
    </xf>
    <xf numFmtId="0" fontId="6" fillId="2" borderId="20" xfId="0" applyFont="1" applyFill="1" applyBorder="1" applyAlignment="1">
      <alignment vertical="center" wrapText="1"/>
    </xf>
    <xf numFmtId="0" fontId="5" fillId="0" borderId="2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5" fillId="2" borderId="28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30" xfId="0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9" fillId="0" borderId="15" xfId="0" applyFont="1" applyFill="1" applyBorder="1" applyAlignment="1">
      <alignment horizontal="center" vertical="center" wrapText="1"/>
    </xf>
    <xf numFmtId="0" fontId="9" fillId="0" borderId="31" xfId="0" applyFont="1" applyFill="1" applyBorder="1" applyAlignment="1">
      <alignment horizontal="center" vertical="center" wrapText="1"/>
    </xf>
    <xf numFmtId="0" fontId="1" fillId="0" borderId="15" xfId="0" applyFont="1" applyFill="1" applyBorder="1" applyAlignment="1">
      <alignment horizontal="center" vertical="center" wrapText="1"/>
    </xf>
    <xf numFmtId="0" fontId="1" fillId="0" borderId="31" xfId="0" applyFont="1" applyFill="1" applyBorder="1" applyAlignment="1">
      <alignment horizontal="center" vertical="center" wrapText="1"/>
    </xf>
    <xf numFmtId="0" fontId="8" fillId="6" borderId="41" xfId="0" applyFont="1" applyFill="1" applyBorder="1" applyAlignment="1">
      <alignment horizontal="center" vertical="center" wrapText="1"/>
    </xf>
    <xf numFmtId="0" fontId="8" fillId="6" borderId="24" xfId="0" applyFont="1" applyFill="1" applyBorder="1" applyAlignment="1">
      <alignment horizontal="center" vertical="center" wrapText="1"/>
    </xf>
    <xf numFmtId="0" fontId="10" fillId="0" borderId="7" xfId="0" applyFont="1" applyFill="1" applyBorder="1" applyAlignment="1">
      <alignment vertical="center" wrapText="1"/>
    </xf>
    <xf numFmtId="0" fontId="19" fillId="0" borderId="8" xfId="0" applyFont="1" applyBorder="1" applyAlignment="1">
      <alignment horizontal="left"/>
    </xf>
    <xf numFmtId="0" fontId="25" fillId="0" borderId="0" xfId="0" applyFont="1" applyBorder="1" applyAlignment="1">
      <alignment horizontal="left"/>
    </xf>
    <xf numFmtId="0" fontId="25" fillId="0" borderId="5" xfId="0" applyFont="1" applyBorder="1" applyAlignment="1">
      <alignment horizontal="left"/>
    </xf>
    <xf numFmtId="0" fontId="18" fillId="0" borderId="8" xfId="0" applyFont="1" applyBorder="1" applyAlignment="1">
      <alignment horizontal="left"/>
    </xf>
    <xf numFmtId="0" fontId="21" fillId="0" borderId="0" xfId="0" applyFont="1" applyBorder="1" applyAlignment="1">
      <alignment horizontal="left"/>
    </xf>
    <xf numFmtId="0" fontId="21" fillId="0" borderId="5" xfId="0" applyFont="1" applyBorder="1" applyAlignment="1">
      <alignment horizontal="left"/>
    </xf>
    <xf numFmtId="0" fontId="5" fillId="0" borderId="15" xfId="0" applyFont="1" applyFill="1" applyBorder="1" applyAlignment="1">
      <alignment horizontal="center" vertical="center" wrapText="1"/>
    </xf>
    <xf numFmtId="0" fontId="24" fillId="0" borderId="36" xfId="0" applyFont="1" applyBorder="1" applyAlignment="1">
      <alignment horizontal="center"/>
    </xf>
    <xf numFmtId="0" fontId="24" fillId="0" borderId="39" xfId="0" applyFont="1" applyBorder="1" applyAlignment="1">
      <alignment horizontal="center"/>
    </xf>
    <xf numFmtId="0" fontId="24" fillId="0" borderId="40" xfId="0" applyFont="1" applyBorder="1" applyAlignment="1">
      <alignment horizontal="center"/>
    </xf>
    <xf numFmtId="0" fontId="15" fillId="6" borderId="30" xfId="0" applyFont="1" applyFill="1" applyBorder="1" applyAlignment="1">
      <alignment horizontal="center" vertical="center" wrapText="1"/>
    </xf>
    <xf numFmtId="0" fontId="15" fillId="6" borderId="34" xfId="0" applyFont="1" applyFill="1" applyBorder="1" applyAlignment="1">
      <alignment horizontal="center" vertical="center" wrapText="1"/>
    </xf>
    <xf numFmtId="0" fontId="15" fillId="6" borderId="33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176"/>
  <sheetViews>
    <sheetView topLeftCell="C1" zoomScaleNormal="100" workbookViewId="0">
      <selection activeCell="C1" sqref="A1:XFD1048576"/>
    </sheetView>
  </sheetViews>
  <sheetFormatPr defaultColWidth="9.140625" defaultRowHeight="31.5" customHeight="1" x14ac:dyDescent="0.25"/>
  <cols>
    <col min="1" max="1" width="18" style="22" customWidth="1"/>
    <col min="2" max="2" width="11.5703125" style="90" customWidth="1"/>
    <col min="3" max="3" width="25.28515625" style="22" customWidth="1"/>
    <col min="4" max="4" width="30.5703125" style="22" customWidth="1"/>
    <col min="5" max="5" width="26.42578125" style="22" customWidth="1"/>
    <col min="6" max="6" width="17" style="22" bestFit="1" customWidth="1"/>
    <col min="7" max="7" width="17.42578125" style="22" customWidth="1"/>
    <col min="8" max="8" width="16.7109375" style="22" customWidth="1"/>
    <col min="9" max="9" width="17.7109375" style="22" customWidth="1"/>
    <col min="10" max="10" width="17.140625" style="22" customWidth="1"/>
    <col min="11" max="11" width="31" style="22" bestFit="1" customWidth="1"/>
    <col min="12" max="16384" width="9.140625" style="22"/>
  </cols>
  <sheetData>
    <row r="1" spans="1:11" ht="51.75" customHeight="1" thickBot="1" x14ac:dyDescent="0.3">
      <c r="A1" s="249" t="s">
        <v>81</v>
      </c>
      <c r="B1" s="249"/>
      <c r="C1" s="249"/>
      <c r="D1" s="249"/>
      <c r="E1" s="249"/>
      <c r="F1" s="249"/>
      <c r="G1" s="249"/>
      <c r="H1" s="249"/>
      <c r="I1" s="249"/>
      <c r="J1" s="249"/>
      <c r="K1" s="249"/>
    </row>
    <row r="2" spans="1:11" ht="31.5" customHeight="1" x14ac:dyDescent="0.25">
      <c r="A2" s="2"/>
      <c r="B2" s="84"/>
      <c r="C2" s="3"/>
      <c r="D2" s="3"/>
      <c r="E2" s="3"/>
      <c r="F2" s="262" t="s">
        <v>15</v>
      </c>
      <c r="G2" s="263"/>
      <c r="H2" s="263"/>
      <c r="I2" s="263"/>
      <c r="J2" s="263"/>
      <c r="K2" s="4"/>
    </row>
    <row r="3" spans="1:11" ht="31.5" customHeight="1" x14ac:dyDescent="0.25">
      <c r="A3" s="47" t="s">
        <v>16</v>
      </c>
      <c r="B3" s="48" t="s">
        <v>17</v>
      </c>
      <c r="C3" s="48" t="s">
        <v>1</v>
      </c>
      <c r="D3" s="48" t="s">
        <v>2</v>
      </c>
      <c r="E3" s="48" t="s">
        <v>3</v>
      </c>
      <c r="F3" s="49">
        <v>2017</v>
      </c>
      <c r="G3" s="50">
        <v>2018</v>
      </c>
      <c r="H3" s="50">
        <v>2019</v>
      </c>
      <c r="I3" s="50">
        <v>2020</v>
      </c>
      <c r="J3" s="50">
        <v>2021</v>
      </c>
      <c r="K3" s="51" t="s">
        <v>22</v>
      </c>
    </row>
    <row r="4" spans="1:11" ht="31.5" customHeight="1" thickBot="1" x14ac:dyDescent="0.3">
      <c r="A4" s="53" t="s">
        <v>147</v>
      </c>
      <c r="B4" s="48"/>
      <c r="C4" s="48"/>
      <c r="D4" s="48"/>
      <c r="E4" s="48"/>
      <c r="F4" s="49"/>
      <c r="G4" s="50"/>
      <c r="H4" s="50"/>
      <c r="I4" s="50"/>
      <c r="J4" s="50"/>
      <c r="K4" s="54"/>
    </row>
    <row r="5" spans="1:11" ht="68.25" customHeight="1" x14ac:dyDescent="0.25">
      <c r="A5" s="243" t="s">
        <v>0</v>
      </c>
      <c r="B5" s="243">
        <v>1.1000000000000001</v>
      </c>
      <c r="C5" s="234" t="s">
        <v>4</v>
      </c>
      <c r="D5" s="27" t="s">
        <v>10</v>
      </c>
      <c r="E5" s="52" t="s">
        <v>157</v>
      </c>
      <c r="F5" s="29">
        <v>0</v>
      </c>
      <c r="G5" s="29">
        <v>180000</v>
      </c>
      <c r="H5" s="29">
        <v>180000</v>
      </c>
      <c r="I5" s="29">
        <v>0</v>
      </c>
      <c r="J5" s="29">
        <v>0</v>
      </c>
      <c r="K5" s="35" t="s">
        <v>19</v>
      </c>
    </row>
    <row r="6" spans="1:11" ht="46.5" customHeight="1" x14ac:dyDescent="0.25">
      <c r="A6" s="244"/>
      <c r="B6" s="244"/>
      <c r="C6" s="234"/>
      <c r="D6" s="27" t="s">
        <v>13</v>
      </c>
      <c r="E6" s="28" t="s">
        <v>14</v>
      </c>
      <c r="F6" s="29">
        <v>20000</v>
      </c>
      <c r="G6" s="29">
        <v>20000</v>
      </c>
      <c r="H6" s="29">
        <v>20000</v>
      </c>
      <c r="I6" s="29">
        <v>20000</v>
      </c>
      <c r="J6" s="29">
        <v>20000</v>
      </c>
      <c r="K6" s="35" t="s">
        <v>19</v>
      </c>
    </row>
    <row r="7" spans="1:11" ht="60.75" customHeight="1" x14ac:dyDescent="0.25">
      <c r="A7" s="244"/>
      <c r="B7" s="244"/>
      <c r="C7" s="234"/>
      <c r="D7" s="27" t="s">
        <v>11</v>
      </c>
      <c r="E7" s="28" t="s">
        <v>26</v>
      </c>
      <c r="F7" s="29">
        <v>0</v>
      </c>
      <c r="G7" s="29">
        <v>0</v>
      </c>
      <c r="H7" s="29">
        <v>0</v>
      </c>
      <c r="I7" s="29">
        <v>0</v>
      </c>
      <c r="J7" s="29">
        <v>0</v>
      </c>
      <c r="K7" s="35" t="s">
        <v>19</v>
      </c>
    </row>
    <row r="8" spans="1:11" ht="56.25" customHeight="1" thickBot="1" x14ac:dyDescent="0.3">
      <c r="A8" s="245"/>
      <c r="B8" s="245"/>
      <c r="C8" s="119" t="s">
        <v>5</v>
      </c>
      <c r="D8" s="27" t="s">
        <v>18</v>
      </c>
      <c r="E8" s="30" t="s">
        <v>12</v>
      </c>
      <c r="F8" s="29">
        <v>0</v>
      </c>
      <c r="G8" s="29">
        <f>10*60000</f>
        <v>600000</v>
      </c>
      <c r="H8" s="29">
        <f>8*60000</f>
        <v>480000</v>
      </c>
      <c r="I8" s="29">
        <f>7*60000</f>
        <v>420000</v>
      </c>
      <c r="J8" s="29">
        <f>6*60000</f>
        <v>360000</v>
      </c>
      <c r="K8" s="35" t="s">
        <v>19</v>
      </c>
    </row>
    <row r="9" spans="1:11" ht="71.25" x14ac:dyDescent="0.25">
      <c r="A9" s="274" t="s">
        <v>6</v>
      </c>
      <c r="B9" s="274">
        <v>1.2</v>
      </c>
      <c r="C9" s="27"/>
      <c r="D9" s="27" t="s">
        <v>355</v>
      </c>
      <c r="E9" s="27" t="s">
        <v>20</v>
      </c>
      <c r="F9" s="29">
        <f>300*150*13.5</f>
        <v>607500</v>
      </c>
      <c r="G9" s="29">
        <f>300*150*13.5+76000</f>
        <v>683500</v>
      </c>
      <c r="H9" s="29">
        <f>300*150*13.5+76000</f>
        <v>683500</v>
      </c>
      <c r="I9" s="29">
        <f>300*150*13.5</f>
        <v>607500</v>
      </c>
      <c r="J9" s="29">
        <f>300*150*13.5</f>
        <v>607500</v>
      </c>
      <c r="K9" s="135" t="s">
        <v>358</v>
      </c>
    </row>
    <row r="10" spans="1:11" ht="47.25" customHeight="1" x14ac:dyDescent="0.25">
      <c r="A10" s="271"/>
      <c r="B10" s="271"/>
      <c r="C10" s="27" t="s">
        <v>7</v>
      </c>
      <c r="D10" s="27" t="s">
        <v>356</v>
      </c>
      <c r="E10" s="30" t="s">
        <v>25</v>
      </c>
      <c r="F10" s="29">
        <v>26040</v>
      </c>
      <c r="G10" s="29">
        <v>26040</v>
      </c>
      <c r="H10" s="29">
        <v>26040</v>
      </c>
      <c r="I10" s="29">
        <v>26040</v>
      </c>
      <c r="J10" s="29">
        <v>26040</v>
      </c>
      <c r="K10" s="135" t="s">
        <v>358</v>
      </c>
    </row>
    <row r="11" spans="1:11" ht="51" customHeight="1" x14ac:dyDescent="0.25">
      <c r="A11" s="270" t="s">
        <v>8</v>
      </c>
      <c r="B11" s="272">
        <v>1.3</v>
      </c>
      <c r="C11" s="261" t="s">
        <v>9</v>
      </c>
      <c r="D11" s="31" t="s">
        <v>21</v>
      </c>
      <c r="E11" s="27" t="s">
        <v>24</v>
      </c>
      <c r="F11" s="29">
        <v>75000</v>
      </c>
      <c r="G11" s="29">
        <v>80000</v>
      </c>
      <c r="H11" s="29">
        <v>75000</v>
      </c>
      <c r="I11" s="29">
        <v>75000</v>
      </c>
      <c r="J11" s="29">
        <v>75000</v>
      </c>
      <c r="K11" s="135" t="s">
        <v>358</v>
      </c>
    </row>
    <row r="12" spans="1:11" ht="63.75" customHeight="1" x14ac:dyDescent="0.25">
      <c r="A12" s="271"/>
      <c r="B12" s="273"/>
      <c r="C12" s="261"/>
      <c r="D12" s="27" t="s">
        <v>357</v>
      </c>
      <c r="E12" s="27" t="s">
        <v>23</v>
      </c>
      <c r="F12" s="29">
        <v>20000</v>
      </c>
      <c r="G12" s="29">
        <v>15000</v>
      </c>
      <c r="H12" s="29">
        <v>15000</v>
      </c>
      <c r="I12" s="29">
        <v>0</v>
      </c>
      <c r="J12" s="29">
        <v>0</v>
      </c>
      <c r="K12" s="135" t="s">
        <v>358</v>
      </c>
    </row>
    <row r="13" spans="1:11" ht="27" customHeight="1" x14ac:dyDescent="0.25">
      <c r="A13" s="255" t="s">
        <v>38</v>
      </c>
      <c r="B13" s="256"/>
      <c r="C13" s="256"/>
      <c r="D13" s="256"/>
      <c r="E13" s="256"/>
      <c r="F13" s="256"/>
      <c r="G13" s="256"/>
      <c r="H13" s="256"/>
      <c r="I13" s="256"/>
      <c r="J13" s="256"/>
      <c r="K13" s="257"/>
    </row>
    <row r="14" spans="1:11" ht="31.5" customHeight="1" thickBot="1" x14ac:dyDescent="0.3">
      <c r="A14" s="23" t="s">
        <v>16</v>
      </c>
      <c r="B14" s="24" t="s">
        <v>17</v>
      </c>
      <c r="C14" s="24" t="s">
        <v>1</v>
      </c>
      <c r="D14" s="24" t="s">
        <v>2</v>
      </c>
      <c r="E14" s="24" t="s">
        <v>3</v>
      </c>
      <c r="F14" s="25">
        <v>2017</v>
      </c>
      <c r="G14" s="26">
        <v>2018</v>
      </c>
      <c r="H14" s="26">
        <v>2019</v>
      </c>
      <c r="I14" s="26">
        <v>2020</v>
      </c>
      <c r="J14" s="26">
        <v>2021</v>
      </c>
      <c r="K14" s="5" t="s">
        <v>22</v>
      </c>
    </row>
    <row r="15" spans="1:11" ht="75.75" customHeight="1" thickBot="1" x14ac:dyDescent="0.3">
      <c r="A15" s="239" t="s">
        <v>36</v>
      </c>
      <c r="B15" s="246">
        <v>2.1</v>
      </c>
      <c r="C15" s="264" t="s">
        <v>27</v>
      </c>
      <c r="D15" s="6" t="s">
        <v>40</v>
      </c>
      <c r="E15" s="6" t="s">
        <v>39</v>
      </c>
      <c r="F15" s="29">
        <f>15*100000</f>
        <v>1500000</v>
      </c>
      <c r="G15" s="29">
        <f>25*100000</f>
        <v>2500000</v>
      </c>
      <c r="H15" s="29">
        <f>30*100000</f>
        <v>3000000</v>
      </c>
      <c r="I15" s="29">
        <v>0</v>
      </c>
      <c r="J15" s="29">
        <f>35*100000</f>
        <v>3500000</v>
      </c>
      <c r="K15" s="34"/>
    </row>
    <row r="16" spans="1:11" ht="55.5" customHeight="1" thickBot="1" x14ac:dyDescent="0.3">
      <c r="A16" s="239"/>
      <c r="B16" s="247"/>
      <c r="C16" s="265"/>
      <c r="D16" s="6" t="s">
        <v>41</v>
      </c>
      <c r="E16" s="7" t="s">
        <v>42</v>
      </c>
      <c r="F16" s="29">
        <f>50*1550</f>
        <v>77500</v>
      </c>
      <c r="G16" s="29">
        <f>120*1550</f>
        <v>186000</v>
      </c>
      <c r="H16" s="29">
        <f>130*1550</f>
        <v>201500</v>
      </c>
      <c r="I16" s="29">
        <f>40*1550</f>
        <v>62000</v>
      </c>
      <c r="J16" s="29">
        <v>0</v>
      </c>
      <c r="K16" s="34"/>
    </row>
    <row r="17" spans="1:11" ht="53.25" customHeight="1" thickBot="1" x14ac:dyDescent="0.3">
      <c r="A17" s="239"/>
      <c r="B17" s="247"/>
      <c r="C17" s="266"/>
      <c r="D17" s="6" t="s">
        <v>43</v>
      </c>
      <c r="E17" s="6" t="s">
        <v>44</v>
      </c>
      <c r="F17" s="29">
        <f>975*80*12</f>
        <v>936000</v>
      </c>
      <c r="G17" s="29">
        <f>975*80*12</f>
        <v>936000</v>
      </c>
      <c r="H17" s="29">
        <f>975*80*12</f>
        <v>936000</v>
      </c>
      <c r="I17" s="29">
        <f>975*80*12</f>
        <v>936000</v>
      </c>
      <c r="J17" s="29">
        <f>975*80*12</f>
        <v>936000</v>
      </c>
      <c r="K17" s="34"/>
    </row>
    <row r="18" spans="1:11" ht="51" customHeight="1" thickBot="1" x14ac:dyDescent="0.3">
      <c r="A18" s="239"/>
      <c r="B18" s="247"/>
      <c r="C18" s="267" t="s">
        <v>28</v>
      </c>
      <c r="D18" s="6" t="s">
        <v>48</v>
      </c>
      <c r="E18" s="6" t="s">
        <v>45</v>
      </c>
      <c r="F18" s="29">
        <v>2929183</v>
      </c>
      <c r="G18" s="66">
        <f>F18+(F18*0.4)</f>
        <v>4100856.2</v>
      </c>
      <c r="H18" s="66">
        <f>F18+(G18*0.4)</f>
        <v>4569525.4800000004</v>
      </c>
      <c r="I18" s="66">
        <f>F18+(H18*0.4)</f>
        <v>4756993.1919999998</v>
      </c>
      <c r="J18" s="66">
        <f>F18+(I18*0.4)</f>
        <v>4831980.2768000001</v>
      </c>
      <c r="K18" s="34"/>
    </row>
    <row r="19" spans="1:11" ht="60.75" customHeight="1" thickBot="1" x14ac:dyDescent="0.3">
      <c r="A19" s="239"/>
      <c r="B19" s="247"/>
      <c r="C19" s="268"/>
      <c r="D19" s="6" t="s">
        <v>49</v>
      </c>
      <c r="E19" s="15" t="s">
        <v>46</v>
      </c>
      <c r="F19" s="35"/>
      <c r="G19" s="35"/>
      <c r="H19" s="35"/>
      <c r="I19" s="35"/>
      <c r="J19" s="35"/>
      <c r="K19" s="34"/>
    </row>
    <row r="20" spans="1:11" ht="31.5" customHeight="1" thickBot="1" x14ac:dyDescent="0.3">
      <c r="A20" s="239"/>
      <c r="B20" s="247"/>
      <c r="C20" s="268"/>
      <c r="D20" s="6" t="s">
        <v>50</v>
      </c>
      <c r="E20" s="6" t="s">
        <v>47</v>
      </c>
      <c r="F20" s="29">
        <v>965340</v>
      </c>
      <c r="G20" s="29">
        <v>965340</v>
      </c>
      <c r="H20" s="29">
        <v>965340</v>
      </c>
      <c r="I20" s="29">
        <v>965340</v>
      </c>
      <c r="J20" s="29">
        <v>965340</v>
      </c>
      <c r="K20" s="34"/>
    </row>
    <row r="21" spans="1:11" ht="31.5" customHeight="1" thickBot="1" x14ac:dyDescent="0.3">
      <c r="A21" s="239"/>
      <c r="B21" s="247"/>
      <c r="C21" s="268"/>
      <c r="D21" s="6" t="s">
        <v>51</v>
      </c>
      <c r="E21" s="6" t="s">
        <v>52</v>
      </c>
      <c r="F21" s="29">
        <v>0</v>
      </c>
      <c r="G21" s="29">
        <f>5*15000</f>
        <v>75000</v>
      </c>
      <c r="H21" s="29">
        <f>5*15000</f>
        <v>75000</v>
      </c>
      <c r="I21" s="29">
        <f>5*15000</f>
        <v>75000</v>
      </c>
      <c r="J21" s="29">
        <f>5*15000</f>
        <v>75000</v>
      </c>
      <c r="K21" s="34"/>
    </row>
    <row r="22" spans="1:11" ht="31.5" customHeight="1" thickBot="1" x14ac:dyDescent="0.3">
      <c r="A22" s="260"/>
      <c r="B22" s="248"/>
      <c r="C22" s="269"/>
      <c r="D22" s="6" t="s">
        <v>53</v>
      </c>
      <c r="E22" s="6" t="s">
        <v>54</v>
      </c>
      <c r="F22" s="29">
        <f>30*100*12</f>
        <v>36000</v>
      </c>
      <c r="G22" s="29">
        <f>30*100*12*2</f>
        <v>72000</v>
      </c>
      <c r="H22" s="29">
        <f>100*100*12</f>
        <v>120000</v>
      </c>
      <c r="I22" s="29">
        <f>100*100*12</f>
        <v>120000</v>
      </c>
      <c r="J22" s="29">
        <f>100*100*12</f>
        <v>120000</v>
      </c>
      <c r="K22" s="34"/>
    </row>
    <row r="23" spans="1:11" ht="64.5" customHeight="1" thickBot="1" x14ac:dyDescent="0.3">
      <c r="A23" s="12"/>
      <c r="B23" s="87"/>
      <c r="C23" s="258" t="s">
        <v>32</v>
      </c>
      <c r="D23" s="6" t="s">
        <v>63</v>
      </c>
      <c r="E23" s="6" t="s">
        <v>57</v>
      </c>
      <c r="F23" s="29">
        <v>0</v>
      </c>
      <c r="G23" s="29">
        <f>1107*400+(7800*120)</f>
        <v>1378800</v>
      </c>
      <c r="H23" s="29">
        <f>1107*400</f>
        <v>442800</v>
      </c>
      <c r="I23" s="29">
        <f>1107*400+(7800*140)</f>
        <v>1534800</v>
      </c>
      <c r="J23" s="29">
        <f>1107*400+(7800*60)</f>
        <v>910800</v>
      </c>
      <c r="K23" s="34"/>
    </row>
    <row r="24" spans="1:11" ht="68.25" customHeight="1" thickBot="1" x14ac:dyDescent="0.3">
      <c r="A24" s="10" t="s">
        <v>31</v>
      </c>
      <c r="B24" s="88">
        <v>2.2000000000000002</v>
      </c>
      <c r="C24" s="259"/>
      <c r="D24" s="6" t="s">
        <v>64</v>
      </c>
      <c r="E24" s="6" t="s">
        <v>58</v>
      </c>
      <c r="F24" s="29">
        <f>60000*3</f>
        <v>180000</v>
      </c>
      <c r="G24" s="29">
        <f>60000*3</f>
        <v>180000</v>
      </c>
      <c r="H24" s="29">
        <f>60000*3</f>
        <v>180000</v>
      </c>
      <c r="I24" s="29">
        <f>60000*3</f>
        <v>180000</v>
      </c>
      <c r="J24" s="29">
        <f>60000*3</f>
        <v>180000</v>
      </c>
      <c r="K24" s="34"/>
    </row>
    <row r="25" spans="1:11" ht="77.25" customHeight="1" thickBot="1" x14ac:dyDescent="0.3">
      <c r="A25" s="36"/>
      <c r="B25" s="86"/>
      <c r="C25" s="250" t="s">
        <v>33</v>
      </c>
      <c r="D25" s="6" t="s">
        <v>65</v>
      </c>
      <c r="E25" s="6" t="s">
        <v>59</v>
      </c>
      <c r="F25" s="29">
        <v>0</v>
      </c>
      <c r="G25" s="29">
        <v>70000</v>
      </c>
      <c r="H25" s="29">
        <v>0</v>
      </c>
      <c r="I25" s="29">
        <v>0</v>
      </c>
      <c r="J25" s="29">
        <v>0</v>
      </c>
      <c r="K25" s="34"/>
    </row>
    <row r="26" spans="1:11" ht="109.5" customHeight="1" thickBot="1" x14ac:dyDescent="0.3">
      <c r="A26" s="10"/>
      <c r="B26" s="86"/>
      <c r="C26" s="251"/>
      <c r="D26" s="6" t="s">
        <v>66</v>
      </c>
      <c r="E26" s="6" t="s">
        <v>60</v>
      </c>
      <c r="F26" s="29">
        <v>0</v>
      </c>
      <c r="G26" s="29">
        <v>0</v>
      </c>
      <c r="H26" s="29">
        <v>94000</v>
      </c>
      <c r="I26" s="29">
        <v>0</v>
      </c>
      <c r="J26" s="29">
        <v>0</v>
      </c>
      <c r="K26" s="34"/>
    </row>
    <row r="27" spans="1:11" ht="60.75" customHeight="1" thickBot="1" x14ac:dyDescent="0.3">
      <c r="A27" s="36"/>
      <c r="B27" s="86"/>
      <c r="C27" s="251"/>
      <c r="D27" s="6" t="s">
        <v>67</v>
      </c>
      <c r="E27" s="6" t="s">
        <v>61</v>
      </c>
      <c r="F27" s="29">
        <v>0</v>
      </c>
      <c r="G27" s="29">
        <v>118000</v>
      </c>
      <c r="H27" s="29">
        <v>100000</v>
      </c>
      <c r="I27" s="29">
        <v>0</v>
      </c>
      <c r="J27" s="29">
        <v>0</v>
      </c>
      <c r="K27" s="34"/>
    </row>
    <row r="28" spans="1:11" ht="48" customHeight="1" thickBot="1" x14ac:dyDescent="0.3">
      <c r="A28" s="11"/>
      <c r="B28" s="89"/>
      <c r="C28" s="252"/>
      <c r="D28" s="6" t="s">
        <v>68</v>
      </c>
      <c r="E28" s="6" t="s">
        <v>62</v>
      </c>
      <c r="F28" s="29">
        <v>0</v>
      </c>
      <c r="G28" s="29">
        <v>516375</v>
      </c>
      <c r="H28" s="29">
        <v>631125</v>
      </c>
      <c r="I28" s="29">
        <v>0</v>
      </c>
      <c r="J28" s="29">
        <v>0</v>
      </c>
      <c r="K28" s="34"/>
    </row>
    <row r="29" spans="1:11" ht="59.25" customHeight="1" thickBot="1" x14ac:dyDescent="0.3">
      <c r="A29" s="253" t="s">
        <v>37</v>
      </c>
      <c r="B29" s="87"/>
      <c r="C29" s="238" t="s">
        <v>34</v>
      </c>
      <c r="D29" s="6" t="s">
        <v>75</v>
      </c>
      <c r="E29" s="6" t="s">
        <v>69</v>
      </c>
      <c r="F29" s="29">
        <v>20000</v>
      </c>
      <c r="G29" s="29">
        <v>20000</v>
      </c>
      <c r="H29" s="29">
        <v>20000</v>
      </c>
      <c r="I29" s="29">
        <v>20000</v>
      </c>
      <c r="J29" s="29">
        <v>20000</v>
      </c>
      <c r="K29" s="34"/>
    </row>
    <row r="30" spans="1:11" ht="56.25" customHeight="1" thickBot="1" x14ac:dyDescent="0.3">
      <c r="A30" s="253"/>
      <c r="B30" s="88">
        <v>2.2999999999999998</v>
      </c>
      <c r="C30" s="239"/>
      <c r="D30" s="6" t="s">
        <v>76</v>
      </c>
      <c r="E30" s="6" t="s">
        <v>70</v>
      </c>
      <c r="F30" s="29">
        <v>40000</v>
      </c>
      <c r="G30" s="29">
        <v>40000</v>
      </c>
      <c r="H30" s="29">
        <v>40000</v>
      </c>
      <c r="I30" s="29">
        <v>40000</v>
      </c>
      <c r="J30" s="29">
        <v>40000</v>
      </c>
      <c r="K30" s="34"/>
    </row>
    <row r="31" spans="1:11" ht="48.75" customHeight="1" thickBot="1" x14ac:dyDescent="0.3">
      <c r="A31" s="253"/>
      <c r="B31" s="86"/>
      <c r="C31" s="240"/>
      <c r="D31" s="9" t="s">
        <v>77</v>
      </c>
      <c r="E31" s="6" t="s">
        <v>71</v>
      </c>
      <c r="F31" s="29">
        <f>50*2*100*12</f>
        <v>120000</v>
      </c>
      <c r="G31" s="29">
        <f>100*2*100*12</f>
        <v>240000</v>
      </c>
      <c r="H31" s="29">
        <f>150*2*100*12</f>
        <v>360000</v>
      </c>
      <c r="I31" s="29">
        <f>200*2*100*12</f>
        <v>480000</v>
      </c>
      <c r="J31" s="29">
        <f>250*2*100*12</f>
        <v>600000</v>
      </c>
      <c r="K31" s="34"/>
    </row>
    <row r="32" spans="1:11" ht="48.75" customHeight="1" thickBot="1" x14ac:dyDescent="0.3">
      <c r="A32" s="253"/>
      <c r="B32" s="86"/>
      <c r="C32" s="241" t="s">
        <v>35</v>
      </c>
      <c r="D32" s="6" t="s">
        <v>78</v>
      </c>
      <c r="E32" s="6" t="s">
        <v>72</v>
      </c>
      <c r="F32" s="29">
        <f>F31*20/100</f>
        <v>24000</v>
      </c>
      <c r="G32" s="29">
        <f>G31*20/100</f>
        <v>48000</v>
      </c>
      <c r="H32" s="29">
        <f>H31*20/100</f>
        <v>72000</v>
      </c>
      <c r="I32" s="29">
        <f>I31*20/100</f>
        <v>96000</v>
      </c>
      <c r="J32" s="29">
        <f>J31*20/100</f>
        <v>120000</v>
      </c>
      <c r="K32" s="34"/>
    </row>
    <row r="33" spans="1:13" ht="77.25" customHeight="1" thickBot="1" x14ac:dyDescent="0.3">
      <c r="A33" s="254"/>
      <c r="B33" s="89"/>
      <c r="C33" s="240"/>
      <c r="D33" s="8" t="s">
        <v>79</v>
      </c>
      <c r="E33" s="8" t="s">
        <v>73</v>
      </c>
      <c r="F33" s="29">
        <v>0</v>
      </c>
      <c r="G33" s="29">
        <v>75000</v>
      </c>
      <c r="H33" s="29">
        <v>63000</v>
      </c>
      <c r="I33" s="29">
        <v>63000</v>
      </c>
      <c r="J33" s="29">
        <v>63000</v>
      </c>
      <c r="K33" s="34"/>
    </row>
    <row r="34" spans="1:13" ht="52.5" customHeight="1" thickBot="1" x14ac:dyDescent="0.3">
      <c r="A34" s="37"/>
      <c r="B34" s="85"/>
      <c r="C34" s="33"/>
      <c r="D34" s="38" t="s">
        <v>80</v>
      </c>
      <c r="E34" s="60" t="s">
        <v>74</v>
      </c>
      <c r="F34" s="73">
        <v>10015296.720000001</v>
      </c>
      <c r="G34" s="32">
        <v>12064899.139397468</v>
      </c>
      <c r="H34" s="32">
        <v>14114501.558794936</v>
      </c>
      <c r="I34" s="32">
        <v>16164103.978192404</v>
      </c>
      <c r="J34" s="32">
        <v>18213706.397589874</v>
      </c>
      <c r="K34" s="34"/>
    </row>
    <row r="35" spans="1:13" ht="52.5" customHeight="1" thickBot="1" x14ac:dyDescent="0.3">
      <c r="A35" s="37"/>
      <c r="B35" s="85"/>
      <c r="C35" s="33"/>
      <c r="D35" s="71"/>
      <c r="E35" s="72"/>
      <c r="F35" s="74">
        <f t="shared" ref="F35:I35" si="0">SUM(F15:F34)</f>
        <v>16843319.719999999</v>
      </c>
      <c r="G35" s="75">
        <f t="shared" si="0"/>
        <v>23586270.339397468</v>
      </c>
      <c r="H35" s="75">
        <f t="shared" si="0"/>
        <v>25984792.038794935</v>
      </c>
      <c r="I35" s="75">
        <f t="shared" si="0"/>
        <v>25493237.170192406</v>
      </c>
      <c r="J35" s="75">
        <f>SUM(J15:J34)</f>
        <v>30575826.674389873</v>
      </c>
      <c r="K35" s="76">
        <f>SUM(F35:J35)</f>
        <v>122483445.94277468</v>
      </c>
    </row>
    <row r="36" spans="1:13" ht="52.5" customHeight="1" x14ac:dyDescent="0.25">
      <c r="A36" s="255" t="s">
        <v>143</v>
      </c>
      <c r="B36" s="256"/>
      <c r="C36" s="256"/>
      <c r="D36" s="256"/>
      <c r="E36" s="256"/>
      <c r="F36" s="256"/>
      <c r="G36" s="256"/>
      <c r="H36" s="256"/>
      <c r="I36" s="256"/>
      <c r="J36" s="256"/>
      <c r="K36" s="257"/>
    </row>
    <row r="37" spans="1:13" ht="31.5" customHeight="1" thickBot="1" x14ac:dyDescent="0.3">
      <c r="A37" s="23" t="s">
        <v>16</v>
      </c>
      <c r="B37" s="24" t="s">
        <v>17</v>
      </c>
      <c r="C37" s="24" t="s">
        <v>1</v>
      </c>
      <c r="D37" s="24" t="s">
        <v>2</v>
      </c>
      <c r="E37" s="24" t="s">
        <v>3</v>
      </c>
      <c r="F37" s="25">
        <v>2017</v>
      </c>
      <c r="G37" s="26">
        <v>2018</v>
      </c>
      <c r="H37" s="26">
        <v>2019</v>
      </c>
      <c r="I37" s="26">
        <v>2020</v>
      </c>
      <c r="J37" s="26">
        <v>2021</v>
      </c>
      <c r="K37" s="5" t="s">
        <v>22</v>
      </c>
    </row>
    <row r="38" spans="1:13" ht="60.75" customHeight="1" thickBot="1" x14ac:dyDescent="0.3">
      <c r="A38" s="235" t="s">
        <v>82</v>
      </c>
      <c r="B38" s="61"/>
      <c r="C38" s="238" t="s">
        <v>83</v>
      </c>
      <c r="D38" s="6" t="s">
        <v>154</v>
      </c>
      <c r="E38" s="7" t="s">
        <v>149</v>
      </c>
      <c r="F38" s="29">
        <v>0</v>
      </c>
      <c r="G38" s="29">
        <v>140000</v>
      </c>
      <c r="H38" s="29">
        <v>120000</v>
      </c>
      <c r="I38" s="29">
        <v>0</v>
      </c>
      <c r="J38" s="29">
        <v>0</v>
      </c>
      <c r="K38" s="59"/>
    </row>
    <row r="39" spans="1:13" ht="85.5" customHeight="1" thickBot="1" x14ac:dyDescent="0.3">
      <c r="A39" s="236"/>
      <c r="B39" s="61"/>
      <c r="C39" s="239"/>
      <c r="D39" s="6" t="s">
        <v>155</v>
      </c>
      <c r="E39" s="7" t="s">
        <v>150</v>
      </c>
      <c r="F39" s="29">
        <v>0</v>
      </c>
      <c r="G39" s="29">
        <f>10*100000</f>
        <v>1000000</v>
      </c>
      <c r="H39" s="29">
        <f>5*100000</f>
        <v>500000</v>
      </c>
      <c r="I39" s="29">
        <f>5*100000</f>
        <v>500000</v>
      </c>
      <c r="J39" s="29">
        <f>10*100000</f>
        <v>1000000</v>
      </c>
      <c r="K39" s="59"/>
    </row>
    <row r="40" spans="1:13" ht="72" thickBot="1" x14ac:dyDescent="0.3">
      <c r="A40" s="236"/>
      <c r="B40" s="65">
        <v>3.1</v>
      </c>
      <c r="C40" s="239"/>
      <c r="D40" s="9" t="s">
        <v>156</v>
      </c>
      <c r="E40" s="7" t="s">
        <v>151</v>
      </c>
      <c r="F40" s="29">
        <v>0</v>
      </c>
      <c r="G40" s="29">
        <f>200*3000</f>
        <v>600000</v>
      </c>
      <c r="H40" s="29">
        <f>150*3000</f>
        <v>450000</v>
      </c>
      <c r="I40" s="29">
        <f>75*3000</f>
        <v>225000</v>
      </c>
      <c r="J40" s="29">
        <f>75*3000</f>
        <v>225000</v>
      </c>
      <c r="K40" s="59"/>
    </row>
    <row r="41" spans="1:13" ht="43.5" thickBot="1" x14ac:dyDescent="0.3">
      <c r="A41" s="236"/>
      <c r="B41" s="80"/>
      <c r="C41" s="239"/>
      <c r="D41" s="6" t="s">
        <v>159</v>
      </c>
      <c r="E41" s="7" t="s">
        <v>152</v>
      </c>
      <c r="F41" s="29">
        <v>0</v>
      </c>
      <c r="G41" s="29">
        <f>4*15000</f>
        <v>60000</v>
      </c>
      <c r="H41" s="29">
        <f>3*15000</f>
        <v>45000</v>
      </c>
      <c r="I41" s="29">
        <f>2*15000</f>
        <v>30000</v>
      </c>
      <c r="J41" s="29">
        <f>1*15000</f>
        <v>15000</v>
      </c>
      <c r="K41" s="59"/>
    </row>
    <row r="42" spans="1:13" ht="72" thickBot="1" x14ac:dyDescent="0.3">
      <c r="A42" s="236"/>
      <c r="B42" s="80"/>
      <c r="C42" s="240"/>
      <c r="D42" s="6" t="s">
        <v>160</v>
      </c>
      <c r="E42" s="7" t="s">
        <v>153</v>
      </c>
      <c r="F42" s="32">
        <v>0</v>
      </c>
      <c r="G42" s="32">
        <v>44000</v>
      </c>
      <c r="H42" s="32">
        <v>88000</v>
      </c>
      <c r="I42" s="32">
        <v>176000</v>
      </c>
      <c r="J42" s="32">
        <v>220000</v>
      </c>
      <c r="K42" s="59"/>
    </row>
    <row r="43" spans="1:13" ht="100.5" thickBot="1" x14ac:dyDescent="0.3">
      <c r="A43" s="237"/>
      <c r="B43" s="82"/>
      <c r="C43" s="16" t="s">
        <v>84</v>
      </c>
      <c r="D43" s="6" t="s">
        <v>161</v>
      </c>
      <c r="E43" s="6" t="s">
        <v>158</v>
      </c>
      <c r="F43" s="29">
        <v>120000</v>
      </c>
      <c r="G43" s="29">
        <v>120000</v>
      </c>
      <c r="H43" s="29">
        <v>120000</v>
      </c>
      <c r="I43" s="29">
        <v>120000</v>
      </c>
      <c r="J43" s="29">
        <v>120000</v>
      </c>
      <c r="K43" s="59"/>
    </row>
    <row r="44" spans="1:13" ht="60.75" customHeight="1" thickBot="1" x14ac:dyDescent="0.3">
      <c r="A44" s="235" t="s">
        <v>85</v>
      </c>
      <c r="B44" s="61"/>
      <c r="C44" s="238" t="s">
        <v>86</v>
      </c>
      <c r="D44" s="6" t="s">
        <v>162</v>
      </c>
      <c r="E44" s="6" t="s">
        <v>163</v>
      </c>
      <c r="F44" s="29">
        <v>0</v>
      </c>
      <c r="G44" s="29">
        <v>135000</v>
      </c>
      <c r="H44" s="29">
        <v>135000</v>
      </c>
      <c r="I44" s="29">
        <v>90000</v>
      </c>
      <c r="J44" s="29">
        <v>90000</v>
      </c>
      <c r="K44" s="59"/>
    </row>
    <row r="45" spans="1:13" ht="57.75" thickBot="1" x14ac:dyDescent="0.3">
      <c r="A45" s="236"/>
      <c r="B45" s="61"/>
      <c r="C45" s="239"/>
      <c r="D45" s="6" t="s">
        <v>164</v>
      </c>
      <c r="E45" s="6" t="s">
        <v>165</v>
      </c>
      <c r="F45" s="29">
        <v>180000</v>
      </c>
      <c r="G45" s="29">
        <v>180000</v>
      </c>
      <c r="H45" s="29">
        <v>180000</v>
      </c>
      <c r="I45" s="29">
        <v>180000</v>
      </c>
      <c r="J45" s="29">
        <v>180000</v>
      </c>
      <c r="K45" s="59"/>
    </row>
    <row r="46" spans="1:13" ht="72" thickBot="1" x14ac:dyDescent="0.3">
      <c r="A46" s="236"/>
      <c r="B46" s="81">
        <v>3.2</v>
      </c>
      <c r="C46" s="240"/>
      <c r="D46" s="6" t="s">
        <v>166</v>
      </c>
      <c r="E46" s="7" t="s">
        <v>170</v>
      </c>
      <c r="F46" s="29">
        <v>156000</v>
      </c>
      <c r="G46" s="29">
        <v>312000</v>
      </c>
      <c r="H46" s="29">
        <v>468000</v>
      </c>
      <c r="I46" s="29">
        <v>624000</v>
      </c>
      <c r="J46" s="29">
        <v>780000</v>
      </c>
      <c r="K46" s="59"/>
      <c r="M46" s="91"/>
    </row>
    <row r="47" spans="1:13" ht="129" thickBot="1" x14ac:dyDescent="0.3">
      <c r="A47" s="236"/>
      <c r="B47" s="80"/>
      <c r="C47" s="241" t="s">
        <v>87</v>
      </c>
      <c r="D47" s="6" t="s">
        <v>167</v>
      </c>
      <c r="E47" s="6" t="s">
        <v>88</v>
      </c>
      <c r="F47" s="32">
        <v>0</v>
      </c>
      <c r="G47" s="32">
        <v>0</v>
      </c>
      <c r="H47" s="32">
        <v>105000</v>
      </c>
      <c r="I47" s="32">
        <v>0</v>
      </c>
      <c r="J47" s="32">
        <v>0</v>
      </c>
      <c r="K47" s="59"/>
    </row>
    <row r="48" spans="1:13" ht="114.75" thickBot="1" x14ac:dyDescent="0.3">
      <c r="A48" s="237"/>
      <c r="B48" s="82"/>
      <c r="C48" s="240"/>
      <c r="D48" s="6" t="s">
        <v>169</v>
      </c>
      <c r="E48" s="6" t="s">
        <v>168</v>
      </c>
      <c r="F48" s="32">
        <v>164490</v>
      </c>
      <c r="G48" s="32">
        <v>1151430</v>
      </c>
      <c r="H48" s="32">
        <v>657960</v>
      </c>
      <c r="I48" s="32">
        <v>657960</v>
      </c>
      <c r="J48" s="32">
        <v>657960</v>
      </c>
      <c r="K48" s="59"/>
    </row>
    <row r="49" spans="1:11" ht="75.75" customHeight="1" thickBot="1" x14ac:dyDescent="0.3">
      <c r="A49" s="235" t="s">
        <v>89</v>
      </c>
      <c r="B49" s="64"/>
      <c r="C49" s="235" t="s">
        <v>90</v>
      </c>
      <c r="D49" s="6" t="s">
        <v>172</v>
      </c>
      <c r="E49" s="40" t="s">
        <v>173</v>
      </c>
      <c r="F49" s="29">
        <v>20000</v>
      </c>
      <c r="G49" s="29">
        <v>20000</v>
      </c>
      <c r="H49" s="29">
        <v>20000</v>
      </c>
      <c r="I49" s="29">
        <v>20000</v>
      </c>
      <c r="J49" s="29">
        <v>20000</v>
      </c>
      <c r="K49" s="59"/>
    </row>
    <row r="50" spans="1:11" ht="86.25" thickBot="1" x14ac:dyDescent="0.3">
      <c r="A50" s="236"/>
      <c r="B50" s="64"/>
      <c r="C50" s="236"/>
      <c r="D50" s="6" t="s">
        <v>199</v>
      </c>
      <c r="E50" s="40" t="s">
        <v>174</v>
      </c>
      <c r="F50" s="29">
        <v>40000</v>
      </c>
      <c r="G50" s="29">
        <v>40000</v>
      </c>
      <c r="H50" s="29">
        <v>40000</v>
      </c>
      <c r="I50" s="29">
        <v>40000</v>
      </c>
      <c r="J50" s="29">
        <v>40000</v>
      </c>
      <c r="K50" s="59"/>
    </row>
    <row r="51" spans="1:11" ht="75.75" customHeight="1" thickBot="1" x14ac:dyDescent="0.3">
      <c r="A51" s="236"/>
      <c r="B51" s="80">
        <v>3.3</v>
      </c>
      <c r="C51" s="236"/>
      <c r="D51" s="6" t="s">
        <v>200</v>
      </c>
      <c r="E51" s="6" t="s">
        <v>175</v>
      </c>
      <c r="F51" s="29">
        <f>50*2*100*12</f>
        <v>120000</v>
      </c>
      <c r="G51" s="29">
        <f>100*2*100*12</f>
        <v>240000</v>
      </c>
      <c r="H51" s="29">
        <f>150*2*100*12</f>
        <v>360000</v>
      </c>
      <c r="I51" s="29">
        <f>200*2*100*12</f>
        <v>480000</v>
      </c>
      <c r="J51" s="29">
        <f>250*2*100*12</f>
        <v>600000</v>
      </c>
      <c r="K51" s="59"/>
    </row>
    <row r="52" spans="1:11" ht="43.5" thickBot="1" x14ac:dyDescent="0.3">
      <c r="A52" s="236"/>
      <c r="B52" s="80"/>
      <c r="C52" s="236"/>
      <c r="D52" s="6" t="s">
        <v>201</v>
      </c>
      <c r="E52" s="6" t="s">
        <v>190</v>
      </c>
      <c r="F52" s="29">
        <v>250000</v>
      </c>
      <c r="G52" s="29">
        <v>275000</v>
      </c>
      <c r="H52" s="29">
        <v>325000</v>
      </c>
      <c r="I52" s="29">
        <v>325000</v>
      </c>
      <c r="J52" s="29">
        <v>325000</v>
      </c>
      <c r="K52" s="59"/>
    </row>
    <row r="53" spans="1:11" ht="72" thickBot="1" x14ac:dyDescent="0.3">
      <c r="A53" s="236"/>
      <c r="B53" s="80"/>
      <c r="C53" s="242"/>
      <c r="D53" s="6" t="s">
        <v>202</v>
      </c>
      <c r="E53" s="6" t="s">
        <v>189</v>
      </c>
      <c r="F53" s="29">
        <f>F51*20/100</f>
        <v>24000</v>
      </c>
      <c r="G53" s="29">
        <f>G51*20/100</f>
        <v>48000</v>
      </c>
      <c r="H53" s="29">
        <f>H51*20/100</f>
        <v>72000</v>
      </c>
      <c r="I53" s="29">
        <f>I51*20/100</f>
        <v>96000</v>
      </c>
      <c r="J53" s="29">
        <f>J51*20/100</f>
        <v>120000</v>
      </c>
      <c r="K53" s="59"/>
    </row>
    <row r="54" spans="1:11" ht="85.5" customHeight="1" thickBot="1" x14ac:dyDescent="0.3">
      <c r="A54" s="237"/>
      <c r="B54" s="82"/>
      <c r="C54" s="17" t="s">
        <v>91</v>
      </c>
      <c r="D54" s="6" t="s">
        <v>203</v>
      </c>
      <c r="E54" s="6" t="s">
        <v>191</v>
      </c>
      <c r="F54" s="32">
        <v>2188435.392</v>
      </c>
      <c r="G54" s="32">
        <v>2636292.5648365375</v>
      </c>
      <c r="H54" s="32">
        <v>3084149.7376730749</v>
      </c>
      <c r="I54" s="32">
        <v>3532006.9105096124</v>
      </c>
      <c r="J54" s="32">
        <v>3979864.0833461499</v>
      </c>
      <c r="K54" s="59"/>
    </row>
    <row r="55" spans="1:11" ht="39.75" customHeight="1" thickBot="1" x14ac:dyDescent="0.3">
      <c r="B55" s="83"/>
      <c r="C55" s="77"/>
      <c r="D55" s="72"/>
      <c r="E55" s="72"/>
      <c r="F55" s="74">
        <f>SUM(F38:F54)</f>
        <v>3262925.392</v>
      </c>
      <c r="G55" s="75">
        <f t="shared" ref="G55:J55" si="1">SUM(G38:G54)</f>
        <v>7001722.5648365375</v>
      </c>
      <c r="H55" s="75">
        <f t="shared" si="1"/>
        <v>6770109.7376730749</v>
      </c>
      <c r="I55" s="75">
        <f t="shared" si="1"/>
        <v>7095966.9105096124</v>
      </c>
      <c r="J55" s="75">
        <f t="shared" si="1"/>
        <v>8372824.0833461499</v>
      </c>
      <c r="K55" s="78">
        <f>SUM(F55:J55)</f>
        <v>32503548.688365374</v>
      </c>
    </row>
    <row r="56" spans="1:11" ht="31.5" customHeight="1" x14ac:dyDescent="0.25">
      <c r="A56" s="255" t="s">
        <v>144</v>
      </c>
      <c r="B56" s="256"/>
      <c r="C56" s="256"/>
      <c r="D56" s="256"/>
      <c r="E56" s="256"/>
      <c r="F56" s="256"/>
      <c r="G56" s="256"/>
      <c r="H56" s="256"/>
      <c r="I56" s="256"/>
      <c r="J56" s="256"/>
      <c r="K56" s="257"/>
    </row>
    <row r="57" spans="1:11" ht="31.5" customHeight="1" thickBot="1" x14ac:dyDescent="0.3">
      <c r="A57" s="23" t="s">
        <v>16</v>
      </c>
      <c r="B57" s="24" t="s">
        <v>17</v>
      </c>
      <c r="C57" s="24" t="s">
        <v>1</v>
      </c>
      <c r="D57" s="24" t="s">
        <v>2</v>
      </c>
      <c r="E57" s="24" t="s">
        <v>3</v>
      </c>
      <c r="F57" s="25">
        <v>2017</v>
      </c>
      <c r="G57" s="26">
        <v>2018</v>
      </c>
      <c r="H57" s="26">
        <v>2019</v>
      </c>
      <c r="I57" s="26">
        <v>2020</v>
      </c>
      <c r="J57" s="26">
        <v>2021</v>
      </c>
      <c r="K57" s="5" t="s">
        <v>22</v>
      </c>
    </row>
    <row r="58" spans="1:11" ht="53.25" customHeight="1" thickBot="1" x14ac:dyDescent="0.3">
      <c r="A58" s="289" t="s">
        <v>187</v>
      </c>
      <c r="B58" s="61"/>
      <c r="C58" s="238" t="s">
        <v>92</v>
      </c>
      <c r="D58" s="6" t="s">
        <v>204</v>
      </c>
      <c r="E58" s="6" t="s">
        <v>192</v>
      </c>
      <c r="F58" s="29">
        <v>0</v>
      </c>
      <c r="G58" s="29">
        <f>40*10000</f>
        <v>400000</v>
      </c>
      <c r="H58" s="29">
        <f>30*10000</f>
        <v>300000</v>
      </c>
      <c r="I58" s="29">
        <f>10*10000</f>
        <v>100000</v>
      </c>
      <c r="J58" s="29">
        <f>10*10000</f>
        <v>100000</v>
      </c>
      <c r="K58" s="34"/>
    </row>
    <row r="59" spans="1:11" ht="59.25" customHeight="1" thickBot="1" x14ac:dyDescent="0.3">
      <c r="A59" s="290"/>
      <c r="B59" s="61"/>
      <c r="C59" s="239"/>
      <c r="D59" s="6" t="s">
        <v>205</v>
      </c>
      <c r="E59" s="6" t="s">
        <v>193</v>
      </c>
      <c r="F59" s="29">
        <v>0</v>
      </c>
      <c r="G59" s="29">
        <f>70*1500</f>
        <v>105000</v>
      </c>
      <c r="H59" s="29">
        <f>12*1500</f>
        <v>18000</v>
      </c>
      <c r="I59" s="29">
        <f>10*1500</f>
        <v>15000</v>
      </c>
      <c r="J59" s="29">
        <f>10*1500</f>
        <v>15000</v>
      </c>
      <c r="K59" s="34"/>
    </row>
    <row r="60" spans="1:11" ht="54" customHeight="1" thickBot="1" x14ac:dyDescent="0.3">
      <c r="A60" s="290"/>
      <c r="B60" s="70">
        <v>4.0999999999999996</v>
      </c>
      <c r="C60" s="240"/>
      <c r="D60" s="6" t="s">
        <v>206</v>
      </c>
      <c r="E60" s="6" t="s">
        <v>194</v>
      </c>
      <c r="F60" s="32">
        <v>0</v>
      </c>
      <c r="G60" s="32">
        <v>150000</v>
      </c>
      <c r="H60" s="32">
        <v>150000</v>
      </c>
      <c r="I60" s="32">
        <v>150000</v>
      </c>
      <c r="J60" s="32">
        <v>150000</v>
      </c>
      <c r="K60" s="34"/>
    </row>
    <row r="61" spans="1:11" ht="48.75" customHeight="1" thickBot="1" x14ac:dyDescent="0.3">
      <c r="A61" s="290"/>
      <c r="B61" s="61"/>
      <c r="C61" s="241" t="s">
        <v>93</v>
      </c>
      <c r="D61" s="6" t="s">
        <v>207</v>
      </c>
      <c r="E61" s="6" t="s">
        <v>195</v>
      </c>
      <c r="F61" s="32">
        <v>0</v>
      </c>
      <c r="G61" s="32">
        <f>69000+23920</f>
        <v>92920</v>
      </c>
      <c r="H61" s="32">
        <v>23920</v>
      </c>
      <c r="I61" s="32">
        <v>23920</v>
      </c>
      <c r="J61" s="32">
        <v>23920</v>
      </c>
      <c r="K61" s="34"/>
    </row>
    <row r="62" spans="1:11" ht="60" customHeight="1" thickBot="1" x14ac:dyDescent="0.3">
      <c r="A62" s="290"/>
      <c r="B62" s="61"/>
      <c r="C62" s="240"/>
      <c r="D62" s="6" t="s">
        <v>208</v>
      </c>
      <c r="E62" s="6" t="s">
        <v>196</v>
      </c>
      <c r="F62" s="29">
        <v>0</v>
      </c>
      <c r="G62" s="29">
        <v>40000</v>
      </c>
      <c r="H62" s="29">
        <v>40000</v>
      </c>
      <c r="I62" s="29">
        <v>40000</v>
      </c>
      <c r="J62" s="29">
        <v>30000</v>
      </c>
      <c r="K62" s="34"/>
    </row>
    <row r="63" spans="1:11" ht="36" customHeight="1" thickBot="1" x14ac:dyDescent="0.3">
      <c r="A63" s="290"/>
      <c r="B63" s="61"/>
      <c r="C63" s="241" t="s">
        <v>94</v>
      </c>
      <c r="D63" s="6" t="s">
        <v>209</v>
      </c>
      <c r="E63" s="6" t="s">
        <v>197</v>
      </c>
      <c r="F63" s="29">
        <v>24000</v>
      </c>
      <c r="G63" s="29">
        <v>42000</v>
      </c>
      <c r="H63" s="29">
        <v>60000</v>
      </c>
      <c r="I63" s="29">
        <v>66000</v>
      </c>
      <c r="J63" s="29">
        <v>72000</v>
      </c>
      <c r="K63" s="34"/>
    </row>
    <row r="64" spans="1:11" ht="31.5" customHeight="1" thickBot="1" x14ac:dyDescent="0.3">
      <c r="A64" s="291"/>
      <c r="B64" s="63"/>
      <c r="C64" s="240"/>
      <c r="D64" s="6" t="s">
        <v>210</v>
      </c>
      <c r="E64" s="6" t="s">
        <v>293</v>
      </c>
      <c r="F64" s="29">
        <v>0</v>
      </c>
      <c r="G64" s="29">
        <v>675000</v>
      </c>
      <c r="H64" s="29">
        <v>675000</v>
      </c>
      <c r="I64" s="29">
        <v>675000</v>
      </c>
      <c r="J64" s="29">
        <v>675000</v>
      </c>
      <c r="K64" s="34"/>
    </row>
    <row r="65" spans="1:11" ht="51" customHeight="1" thickBot="1" x14ac:dyDescent="0.3">
      <c r="A65" s="289" t="s">
        <v>176</v>
      </c>
      <c r="B65" s="61"/>
      <c r="C65" s="238" t="s">
        <v>95</v>
      </c>
      <c r="D65" s="6" t="s">
        <v>212</v>
      </c>
      <c r="E65" s="6" t="s">
        <v>211</v>
      </c>
      <c r="F65" s="29">
        <v>52560</v>
      </c>
      <c r="G65" s="29">
        <v>105120</v>
      </c>
      <c r="H65" s="29">
        <v>52560</v>
      </c>
      <c r="I65" s="29">
        <v>26280</v>
      </c>
      <c r="J65" s="29">
        <v>26280</v>
      </c>
      <c r="K65" s="34"/>
    </row>
    <row r="66" spans="1:11" ht="75" customHeight="1" thickBot="1" x14ac:dyDescent="0.3">
      <c r="A66" s="290"/>
      <c r="B66" s="70">
        <v>4.2</v>
      </c>
      <c r="C66" s="240"/>
      <c r="D66" s="6" t="s">
        <v>213</v>
      </c>
      <c r="E66" s="6" t="s">
        <v>198</v>
      </c>
      <c r="F66" s="29">
        <f>40000*2</f>
        <v>80000</v>
      </c>
      <c r="G66" s="29">
        <f>40000*2</f>
        <v>80000</v>
      </c>
      <c r="H66" s="29">
        <f>40000*2</f>
        <v>80000</v>
      </c>
      <c r="I66" s="29">
        <f>40000*2</f>
        <v>80000</v>
      </c>
      <c r="J66" s="29">
        <f>40000*2</f>
        <v>80000</v>
      </c>
      <c r="K66" s="34"/>
    </row>
    <row r="67" spans="1:11" ht="67.5" customHeight="1" thickBot="1" x14ac:dyDescent="0.3">
      <c r="A67" s="290"/>
      <c r="B67" s="61"/>
      <c r="C67" s="241" t="s">
        <v>96</v>
      </c>
      <c r="D67" s="6" t="s">
        <v>214</v>
      </c>
      <c r="E67" s="6" t="s">
        <v>277</v>
      </c>
      <c r="F67" s="29">
        <v>0</v>
      </c>
      <c r="G67" s="29">
        <v>0</v>
      </c>
      <c r="H67" s="29">
        <v>94000</v>
      </c>
      <c r="I67" s="29">
        <v>0</v>
      </c>
      <c r="J67" s="29">
        <v>0</v>
      </c>
      <c r="K67" s="34"/>
    </row>
    <row r="68" spans="1:11" ht="61.5" customHeight="1" thickBot="1" x14ac:dyDescent="0.3">
      <c r="A68" s="290"/>
      <c r="B68" s="63"/>
      <c r="C68" s="240"/>
      <c r="D68" s="6" t="s">
        <v>215</v>
      </c>
      <c r="E68" s="6" t="s">
        <v>278</v>
      </c>
      <c r="F68" s="29">
        <v>0</v>
      </c>
      <c r="G68" s="29">
        <v>118000</v>
      </c>
      <c r="H68" s="29">
        <v>100000</v>
      </c>
      <c r="I68" s="29">
        <v>0</v>
      </c>
      <c r="J68" s="29">
        <v>0</v>
      </c>
      <c r="K68" s="34" t="s">
        <v>171</v>
      </c>
    </row>
    <row r="69" spans="1:11" ht="65.25" customHeight="1" thickBot="1" x14ac:dyDescent="0.3">
      <c r="A69" s="235" t="s">
        <v>177</v>
      </c>
      <c r="B69" s="61"/>
      <c r="C69" s="238" t="s">
        <v>97</v>
      </c>
      <c r="D69" s="6" t="s">
        <v>216</v>
      </c>
      <c r="E69" s="6" t="s">
        <v>98</v>
      </c>
      <c r="F69" s="29">
        <v>40000</v>
      </c>
      <c r="G69" s="29">
        <v>40000</v>
      </c>
      <c r="H69" s="29">
        <v>40000</v>
      </c>
      <c r="I69" s="29">
        <v>40000</v>
      </c>
      <c r="J69" s="29">
        <v>40000</v>
      </c>
      <c r="K69" s="34" t="s">
        <v>171</v>
      </c>
    </row>
    <row r="70" spans="1:11" ht="54.75" customHeight="1" thickBot="1" x14ac:dyDescent="0.3">
      <c r="A70" s="236"/>
      <c r="B70" s="70">
        <v>4.3</v>
      </c>
      <c r="C70" s="239"/>
      <c r="D70" s="6" t="s">
        <v>217</v>
      </c>
      <c r="E70" s="6" t="s">
        <v>279</v>
      </c>
      <c r="F70" s="29">
        <f t="shared" ref="F70:I71" si="2">7*3000</f>
        <v>21000</v>
      </c>
      <c r="G70" s="29">
        <f t="shared" si="2"/>
        <v>21000</v>
      </c>
      <c r="H70" s="29">
        <f t="shared" si="2"/>
        <v>21000</v>
      </c>
      <c r="I70" s="29">
        <f t="shared" si="2"/>
        <v>21000</v>
      </c>
      <c r="J70" s="29">
        <f>5*3000</f>
        <v>15000</v>
      </c>
      <c r="K70" s="34" t="s">
        <v>171</v>
      </c>
    </row>
    <row r="71" spans="1:11" ht="69.75" customHeight="1" thickBot="1" x14ac:dyDescent="0.3">
      <c r="A71" s="237"/>
      <c r="B71" s="63"/>
      <c r="C71" s="240"/>
      <c r="D71" s="6" t="s">
        <v>218</v>
      </c>
      <c r="E71" s="15" t="s">
        <v>99</v>
      </c>
      <c r="F71" s="120">
        <f t="shared" si="2"/>
        <v>21000</v>
      </c>
      <c r="G71" s="120">
        <f t="shared" si="2"/>
        <v>21000</v>
      </c>
      <c r="H71" s="120">
        <f t="shared" si="2"/>
        <v>21000</v>
      </c>
      <c r="I71" s="120">
        <f t="shared" si="2"/>
        <v>21000</v>
      </c>
      <c r="J71" s="120">
        <f>5*3000</f>
        <v>15000</v>
      </c>
      <c r="K71" s="34" t="s">
        <v>171</v>
      </c>
    </row>
    <row r="72" spans="1:11" ht="69.75" customHeight="1" x14ac:dyDescent="0.25">
      <c r="B72" s="79"/>
      <c r="C72" s="79"/>
      <c r="D72" s="72"/>
      <c r="E72" s="72"/>
      <c r="F72" s="92">
        <f>SUM(F58:F71)</f>
        <v>238560</v>
      </c>
      <c r="G72" s="92">
        <f t="shared" ref="G72:J72" si="3">SUM(G58:G71)</f>
        <v>1890040</v>
      </c>
      <c r="H72" s="92">
        <f t="shared" si="3"/>
        <v>1675480</v>
      </c>
      <c r="I72" s="92">
        <f t="shared" si="3"/>
        <v>1258200</v>
      </c>
      <c r="J72" s="92">
        <f t="shared" si="3"/>
        <v>1242200</v>
      </c>
      <c r="K72" s="92">
        <f>SUM(F72:J72)</f>
        <v>6304480</v>
      </c>
    </row>
    <row r="73" spans="1:11" ht="31.5" customHeight="1" x14ac:dyDescent="0.25">
      <c r="A73" s="255" t="s">
        <v>145</v>
      </c>
      <c r="B73" s="256"/>
      <c r="C73" s="256"/>
      <c r="D73" s="256"/>
      <c r="E73" s="256"/>
      <c r="F73" s="256"/>
      <c r="G73" s="256"/>
      <c r="H73" s="256"/>
      <c r="I73" s="256"/>
      <c r="J73" s="256"/>
      <c r="K73" s="257"/>
    </row>
    <row r="74" spans="1:11" ht="31.5" customHeight="1" thickBot="1" x14ac:dyDescent="0.3">
      <c r="A74" s="47" t="s">
        <v>16</v>
      </c>
      <c r="B74" s="24" t="s">
        <v>17</v>
      </c>
      <c r="C74" s="24" t="s">
        <v>1</v>
      </c>
      <c r="D74" s="24" t="s">
        <v>2</v>
      </c>
      <c r="E74" s="24" t="s">
        <v>3</v>
      </c>
      <c r="F74" s="25">
        <v>2017</v>
      </c>
      <c r="G74" s="26">
        <v>2018</v>
      </c>
      <c r="H74" s="26">
        <v>2019</v>
      </c>
      <c r="I74" s="26">
        <v>2020</v>
      </c>
      <c r="J74" s="26">
        <v>2021</v>
      </c>
      <c r="K74" s="5" t="s">
        <v>22</v>
      </c>
    </row>
    <row r="75" spans="1:11" ht="60" customHeight="1" thickBot="1" x14ac:dyDescent="0.3">
      <c r="A75" s="292" t="s">
        <v>100</v>
      </c>
      <c r="B75" s="93"/>
      <c r="C75" s="275" t="s">
        <v>101</v>
      </c>
      <c r="D75" s="6" t="s">
        <v>219</v>
      </c>
      <c r="E75" s="15" t="s">
        <v>220</v>
      </c>
      <c r="F75" s="29">
        <v>0</v>
      </c>
      <c r="G75" s="29">
        <v>3398000</v>
      </c>
      <c r="H75" s="29">
        <v>3398000</v>
      </c>
      <c r="I75" s="29">
        <v>3398000</v>
      </c>
      <c r="J75" s="29">
        <v>0</v>
      </c>
      <c r="K75" s="39" t="s">
        <v>148</v>
      </c>
    </row>
    <row r="76" spans="1:11" ht="59.25" customHeight="1" thickBot="1" x14ac:dyDescent="0.3">
      <c r="A76" s="292"/>
      <c r="B76" s="98"/>
      <c r="C76" s="253"/>
      <c r="D76" s="19" t="s">
        <v>221</v>
      </c>
      <c r="E76" s="58" t="s">
        <v>224</v>
      </c>
      <c r="F76" s="29">
        <v>0</v>
      </c>
      <c r="G76" s="29">
        <f>360*1200</f>
        <v>432000</v>
      </c>
      <c r="H76" s="29">
        <f>360*1200*2</f>
        <v>864000</v>
      </c>
      <c r="I76" s="29">
        <f>360*1200*3</f>
        <v>1296000</v>
      </c>
      <c r="J76" s="29">
        <f>360*1200*4</f>
        <v>1728000</v>
      </c>
      <c r="K76" s="39" t="s">
        <v>148</v>
      </c>
    </row>
    <row r="77" spans="1:11" ht="55.5" customHeight="1" thickBot="1" x14ac:dyDescent="0.3">
      <c r="A77" s="292"/>
      <c r="B77" s="98"/>
      <c r="C77" s="253"/>
      <c r="D77" s="19" t="s">
        <v>222</v>
      </c>
      <c r="E77" s="58" t="s">
        <v>225</v>
      </c>
      <c r="F77" s="29">
        <v>0</v>
      </c>
      <c r="G77" s="29">
        <f>360*300</f>
        <v>108000</v>
      </c>
      <c r="H77" s="29">
        <f>360*300*2</f>
        <v>216000</v>
      </c>
      <c r="I77" s="29">
        <f>360*300*3</f>
        <v>324000</v>
      </c>
      <c r="J77" s="29">
        <f>360*300*3</f>
        <v>324000</v>
      </c>
      <c r="K77" s="39" t="s">
        <v>148</v>
      </c>
    </row>
    <row r="78" spans="1:11" ht="56.25" customHeight="1" x14ac:dyDescent="0.25">
      <c r="A78" s="292"/>
      <c r="B78" s="106">
        <v>5.0999999999999996</v>
      </c>
      <c r="C78" s="253"/>
      <c r="D78" s="19" t="s">
        <v>223</v>
      </c>
      <c r="E78" s="58" t="s">
        <v>226</v>
      </c>
      <c r="F78" s="29">
        <v>0</v>
      </c>
      <c r="G78" s="29">
        <f>50*1300</f>
        <v>65000</v>
      </c>
      <c r="H78" s="29">
        <f>50*1300</f>
        <v>65000</v>
      </c>
      <c r="I78" s="29">
        <f>50*1300</f>
        <v>65000</v>
      </c>
      <c r="J78" s="29">
        <f>50*1300</f>
        <v>65000</v>
      </c>
      <c r="K78" s="39" t="s">
        <v>148</v>
      </c>
    </row>
    <row r="79" spans="1:11" ht="75.75" thickBot="1" x14ac:dyDescent="0.3">
      <c r="A79" s="292"/>
      <c r="B79" s="98"/>
      <c r="C79" s="95" t="s">
        <v>102</v>
      </c>
      <c r="D79" s="6" t="s">
        <v>230</v>
      </c>
      <c r="E79" s="6" t="s">
        <v>227</v>
      </c>
      <c r="F79" s="29">
        <v>0</v>
      </c>
      <c r="G79" s="29">
        <f>1*15000</f>
        <v>15000</v>
      </c>
      <c r="H79" s="29">
        <f>4*15000</f>
        <v>60000</v>
      </c>
      <c r="I79" s="29">
        <v>0</v>
      </c>
      <c r="J79" s="29">
        <v>0</v>
      </c>
      <c r="K79" s="39" t="s">
        <v>148</v>
      </c>
    </row>
    <row r="80" spans="1:11" ht="72" customHeight="1" thickBot="1" x14ac:dyDescent="0.3">
      <c r="A80" s="292"/>
      <c r="B80" s="95"/>
      <c r="C80" s="95" t="s">
        <v>103</v>
      </c>
      <c r="D80" s="6" t="s">
        <v>231</v>
      </c>
      <c r="E80" s="6" t="s">
        <v>228</v>
      </c>
      <c r="F80" s="29">
        <v>0</v>
      </c>
      <c r="G80" s="29">
        <f>1000*300</f>
        <v>300000</v>
      </c>
      <c r="H80" s="29">
        <f>1000*300</f>
        <v>300000</v>
      </c>
      <c r="I80" s="29">
        <f>1000*300</f>
        <v>300000</v>
      </c>
      <c r="J80" s="29">
        <f>1000*300</f>
        <v>300000</v>
      </c>
      <c r="K80" s="39" t="s">
        <v>148</v>
      </c>
    </row>
    <row r="81" spans="1:11" ht="157.5" thickBot="1" x14ac:dyDescent="0.3">
      <c r="A81" s="293" t="s">
        <v>186</v>
      </c>
      <c r="B81" s="107"/>
      <c r="C81" s="97" t="s">
        <v>104</v>
      </c>
      <c r="D81" s="6" t="s">
        <v>232</v>
      </c>
      <c r="E81" s="6" t="s">
        <v>229</v>
      </c>
      <c r="F81" s="29">
        <v>0</v>
      </c>
      <c r="G81" s="29">
        <v>300000</v>
      </c>
      <c r="H81" s="29">
        <v>300000</v>
      </c>
      <c r="I81" s="29">
        <v>300000</v>
      </c>
      <c r="J81" s="29">
        <v>300000</v>
      </c>
      <c r="K81" s="39" t="s">
        <v>148</v>
      </c>
    </row>
    <row r="82" spans="1:11" ht="84.75" customHeight="1" thickBot="1" x14ac:dyDescent="0.3">
      <c r="A82" s="293"/>
      <c r="B82" s="94"/>
      <c r="C82" s="97" t="s">
        <v>105</v>
      </c>
      <c r="D82" s="18" t="s">
        <v>233</v>
      </c>
      <c r="E82" s="6" t="s">
        <v>249</v>
      </c>
      <c r="F82" s="29">
        <v>0</v>
      </c>
      <c r="G82" s="29">
        <v>70000</v>
      </c>
      <c r="H82" s="29">
        <v>0</v>
      </c>
      <c r="I82" s="29">
        <v>0</v>
      </c>
      <c r="J82" s="29">
        <v>0</v>
      </c>
      <c r="K82" s="39" t="s">
        <v>148</v>
      </c>
    </row>
    <row r="83" spans="1:11" ht="42.75" customHeight="1" thickBot="1" x14ac:dyDescent="0.3">
      <c r="A83" s="293"/>
      <c r="B83" s="108">
        <v>5.2</v>
      </c>
      <c r="C83" s="283" t="s">
        <v>106</v>
      </c>
      <c r="D83" s="18" t="s">
        <v>234</v>
      </c>
      <c r="E83" s="6" t="s">
        <v>250</v>
      </c>
      <c r="F83" s="29">
        <v>0</v>
      </c>
      <c r="G83" s="29">
        <v>46600</v>
      </c>
      <c r="H83" s="29">
        <v>21600</v>
      </c>
      <c r="I83" s="29">
        <v>26601</v>
      </c>
      <c r="J83" s="29">
        <v>21602</v>
      </c>
      <c r="K83" s="39" t="s">
        <v>148</v>
      </c>
    </row>
    <row r="84" spans="1:11" ht="31.5" customHeight="1" thickBot="1" x14ac:dyDescent="0.3">
      <c r="A84" s="293"/>
      <c r="B84" s="94"/>
      <c r="C84" s="284"/>
      <c r="D84" s="18" t="s">
        <v>235</v>
      </c>
      <c r="E84" s="6" t="s">
        <v>251</v>
      </c>
      <c r="F84" s="29">
        <v>0</v>
      </c>
      <c r="G84" s="29">
        <f>50*2000</f>
        <v>100000</v>
      </c>
      <c r="H84" s="29">
        <f>50*2000</f>
        <v>100000</v>
      </c>
      <c r="I84" s="29">
        <f>50*2000</f>
        <v>100000</v>
      </c>
      <c r="J84" s="29">
        <f>50*2000</f>
        <v>100000</v>
      </c>
      <c r="K84" s="39" t="s">
        <v>148</v>
      </c>
    </row>
    <row r="85" spans="1:11" ht="52.5" customHeight="1" thickBot="1" x14ac:dyDescent="0.3">
      <c r="A85" s="293"/>
      <c r="B85" s="94"/>
      <c r="C85" s="284"/>
      <c r="D85" s="18" t="s">
        <v>236</v>
      </c>
      <c r="E85" s="7" t="s">
        <v>252</v>
      </c>
      <c r="F85" s="29">
        <v>0</v>
      </c>
      <c r="G85" s="29">
        <v>30000</v>
      </c>
      <c r="H85" s="29">
        <v>35000</v>
      </c>
      <c r="I85" s="29">
        <v>40000</v>
      </c>
      <c r="J85" s="29">
        <v>50000</v>
      </c>
      <c r="K85" s="39" t="s">
        <v>148</v>
      </c>
    </row>
    <row r="86" spans="1:11" ht="51" customHeight="1" thickBot="1" x14ac:dyDescent="0.3">
      <c r="A86" s="293"/>
      <c r="B86" s="94"/>
      <c r="C86" s="285"/>
      <c r="D86" s="18" t="s">
        <v>237</v>
      </c>
      <c r="E86" s="6" t="s">
        <v>253</v>
      </c>
      <c r="F86" s="29">
        <v>0</v>
      </c>
      <c r="G86" s="29">
        <v>30000</v>
      </c>
      <c r="H86" s="29">
        <v>35000</v>
      </c>
      <c r="I86" s="29">
        <v>40000</v>
      </c>
      <c r="J86" s="29">
        <v>50000</v>
      </c>
      <c r="K86" s="39" t="s">
        <v>148</v>
      </c>
    </row>
    <row r="87" spans="1:11" ht="57.75" customHeight="1" thickBot="1" x14ac:dyDescent="0.3">
      <c r="A87" s="293"/>
      <c r="B87" s="94"/>
      <c r="C87" s="283" t="s">
        <v>107</v>
      </c>
      <c r="D87" s="18" t="s">
        <v>238</v>
      </c>
      <c r="E87" s="6" t="s">
        <v>254</v>
      </c>
      <c r="F87" s="29">
        <v>0</v>
      </c>
      <c r="G87" s="29">
        <f>5*6*10000</f>
        <v>300000</v>
      </c>
      <c r="H87" s="29">
        <v>0</v>
      </c>
      <c r="I87" s="29">
        <v>0</v>
      </c>
      <c r="J87" s="29">
        <v>0</v>
      </c>
      <c r="K87" s="39" t="s">
        <v>148</v>
      </c>
    </row>
    <row r="88" spans="1:11" ht="45.75" customHeight="1" thickBot="1" x14ac:dyDescent="0.3">
      <c r="A88" s="293"/>
      <c r="B88" s="96"/>
      <c r="C88" s="285"/>
      <c r="D88" s="18" t="s">
        <v>239</v>
      </c>
      <c r="E88" s="6" t="s">
        <v>255</v>
      </c>
      <c r="F88" s="29">
        <v>0</v>
      </c>
      <c r="G88" s="29">
        <v>0</v>
      </c>
      <c r="H88" s="29">
        <v>0</v>
      </c>
      <c r="I88" s="29">
        <v>0</v>
      </c>
      <c r="J88" s="29">
        <v>0</v>
      </c>
      <c r="K88" s="39" t="s">
        <v>148</v>
      </c>
    </row>
    <row r="89" spans="1:11" ht="39.75" customHeight="1" thickBot="1" x14ac:dyDescent="0.3">
      <c r="A89" s="292" t="s">
        <v>188</v>
      </c>
      <c r="B89" s="93"/>
      <c r="C89" s="275" t="s">
        <v>108</v>
      </c>
      <c r="D89" s="18" t="s">
        <v>240</v>
      </c>
      <c r="E89" s="6" t="s">
        <v>256</v>
      </c>
      <c r="F89" s="29">
        <v>0</v>
      </c>
      <c r="G89" s="29">
        <f>5*6*10000</f>
        <v>300000</v>
      </c>
      <c r="H89" s="29">
        <v>0</v>
      </c>
      <c r="I89" s="29">
        <v>0</v>
      </c>
      <c r="J89" s="29">
        <v>0</v>
      </c>
      <c r="K89" s="39" t="s">
        <v>148</v>
      </c>
    </row>
    <row r="90" spans="1:11" ht="57.75" thickBot="1" x14ac:dyDescent="0.3">
      <c r="A90" s="292"/>
      <c r="B90" s="98"/>
      <c r="C90" s="253"/>
      <c r="D90" s="18" t="s">
        <v>241</v>
      </c>
      <c r="E90" s="6" t="s">
        <v>257</v>
      </c>
      <c r="F90" s="29">
        <v>0</v>
      </c>
      <c r="G90" s="29">
        <v>10000</v>
      </c>
      <c r="H90" s="29">
        <v>5000</v>
      </c>
      <c r="I90" s="29">
        <v>0</v>
      </c>
      <c r="J90" s="29">
        <v>5000</v>
      </c>
      <c r="K90" s="39" t="s">
        <v>148</v>
      </c>
    </row>
    <row r="91" spans="1:11" ht="31.5" customHeight="1" thickBot="1" x14ac:dyDescent="0.3">
      <c r="A91" s="292"/>
      <c r="B91" s="98"/>
      <c r="C91" s="254"/>
      <c r="D91" s="6" t="s">
        <v>242</v>
      </c>
      <c r="E91" s="6" t="s">
        <v>294</v>
      </c>
      <c r="F91" s="29">
        <v>0</v>
      </c>
      <c r="G91" s="29">
        <v>24000</v>
      </c>
      <c r="H91" s="29">
        <v>24000</v>
      </c>
      <c r="I91" s="29">
        <v>24000</v>
      </c>
      <c r="J91" s="29">
        <v>24000</v>
      </c>
      <c r="K91" s="39" t="s">
        <v>148</v>
      </c>
    </row>
    <row r="92" spans="1:11" ht="31.5" customHeight="1" thickBot="1" x14ac:dyDescent="0.3">
      <c r="A92" s="292"/>
      <c r="B92" s="98">
        <v>5.3</v>
      </c>
      <c r="C92" s="275" t="s">
        <v>109</v>
      </c>
      <c r="D92" s="6" t="s">
        <v>243</v>
      </c>
      <c r="E92" s="6" t="s">
        <v>258</v>
      </c>
      <c r="F92" s="29">
        <v>0</v>
      </c>
      <c r="G92" s="29">
        <v>10000</v>
      </c>
      <c r="H92" s="29">
        <v>0</v>
      </c>
      <c r="I92" s="29">
        <v>0</v>
      </c>
      <c r="J92" s="29">
        <v>0</v>
      </c>
      <c r="K92" s="39" t="s">
        <v>148</v>
      </c>
    </row>
    <row r="93" spans="1:11" ht="56.25" customHeight="1" thickBot="1" x14ac:dyDescent="0.3">
      <c r="A93" s="292"/>
      <c r="B93" s="98"/>
      <c r="C93" s="253"/>
      <c r="D93" s="6" t="s">
        <v>244</v>
      </c>
      <c r="E93" s="6" t="s">
        <v>259</v>
      </c>
      <c r="F93" s="29">
        <v>0</v>
      </c>
      <c r="G93" s="29">
        <v>30000</v>
      </c>
      <c r="H93" s="29">
        <v>0</v>
      </c>
      <c r="I93" s="29">
        <v>30000</v>
      </c>
      <c r="J93" s="29">
        <v>0</v>
      </c>
      <c r="K93" s="39" t="s">
        <v>148</v>
      </c>
    </row>
    <row r="94" spans="1:11" ht="49.5" customHeight="1" thickBot="1" x14ac:dyDescent="0.3">
      <c r="A94" s="292"/>
      <c r="B94" s="98"/>
      <c r="C94" s="253"/>
      <c r="D94" s="6" t="s">
        <v>245</v>
      </c>
      <c r="E94" s="6" t="s">
        <v>261</v>
      </c>
      <c r="F94" s="29">
        <v>0</v>
      </c>
      <c r="G94" s="29">
        <v>30000</v>
      </c>
      <c r="H94" s="29">
        <v>0</v>
      </c>
      <c r="I94" s="29">
        <v>30000</v>
      </c>
      <c r="J94" s="29">
        <v>0</v>
      </c>
      <c r="K94" s="39" t="s">
        <v>148</v>
      </c>
    </row>
    <row r="95" spans="1:11" ht="57.75" customHeight="1" thickBot="1" x14ac:dyDescent="0.3">
      <c r="A95" s="292"/>
      <c r="B95" s="98"/>
      <c r="C95" s="253"/>
      <c r="D95" s="6" t="s">
        <v>246</v>
      </c>
      <c r="E95" s="6" t="s">
        <v>260</v>
      </c>
      <c r="F95" s="29">
        <v>0</v>
      </c>
      <c r="G95" s="29">
        <v>30000</v>
      </c>
      <c r="H95" s="29">
        <v>0</v>
      </c>
      <c r="I95" s="29">
        <v>30000</v>
      </c>
      <c r="J95" s="29">
        <v>0</v>
      </c>
      <c r="K95" s="39" t="s">
        <v>148</v>
      </c>
    </row>
    <row r="96" spans="1:11" ht="56.25" customHeight="1" thickBot="1" x14ac:dyDescent="0.3">
      <c r="A96" s="292"/>
      <c r="B96" s="98"/>
      <c r="C96" s="253"/>
      <c r="D96" s="42" t="s">
        <v>247</v>
      </c>
      <c r="E96" s="6"/>
      <c r="F96" s="29">
        <v>0</v>
      </c>
      <c r="G96" s="29">
        <v>72000</v>
      </c>
      <c r="H96" s="29">
        <v>72000</v>
      </c>
      <c r="I96" s="29">
        <v>72000</v>
      </c>
      <c r="J96" s="29">
        <v>72000</v>
      </c>
      <c r="K96" s="39" t="s">
        <v>148</v>
      </c>
    </row>
    <row r="97" spans="1:11" ht="51.75" customHeight="1" thickBot="1" x14ac:dyDescent="0.3">
      <c r="A97" s="292"/>
      <c r="B97" s="95"/>
      <c r="C97" s="254"/>
      <c r="D97" s="6" t="s">
        <v>248</v>
      </c>
      <c r="E97" s="6" t="s">
        <v>262</v>
      </c>
      <c r="F97" s="32">
        <v>0</v>
      </c>
      <c r="G97" s="32">
        <v>1400899.25</v>
      </c>
      <c r="H97" s="32">
        <v>1400899.25</v>
      </c>
      <c r="I97" s="32">
        <v>1400899.25</v>
      </c>
      <c r="J97" s="32">
        <v>1400899.25</v>
      </c>
      <c r="K97" s="101" t="s">
        <v>148</v>
      </c>
    </row>
    <row r="98" spans="1:11" ht="46.5" customHeight="1" thickBot="1" x14ac:dyDescent="0.3">
      <c r="A98" s="99"/>
      <c r="B98" s="100"/>
      <c r="C98" s="100"/>
      <c r="D98" s="72"/>
      <c r="E98" s="72"/>
      <c r="F98" s="102">
        <f>SUM(F75:F97)</f>
        <v>0</v>
      </c>
      <c r="G98" s="103">
        <f t="shared" ref="G98:J98" si="4">SUM(G75:G97)</f>
        <v>7101499.25</v>
      </c>
      <c r="H98" s="103">
        <f t="shared" si="4"/>
        <v>6896499.25</v>
      </c>
      <c r="I98" s="103">
        <f t="shared" si="4"/>
        <v>7476500.25</v>
      </c>
      <c r="J98" s="103">
        <f t="shared" si="4"/>
        <v>4440501.25</v>
      </c>
      <c r="K98" s="104">
        <f>SUM(F98:J98)</f>
        <v>25915000</v>
      </c>
    </row>
    <row r="99" spans="1:11" ht="31.5" customHeight="1" x14ac:dyDescent="0.25">
      <c r="A99" s="99"/>
      <c r="B99" s="100"/>
      <c r="C99" s="100"/>
      <c r="D99" s="72"/>
      <c r="E99" s="72"/>
      <c r="F99" s="41"/>
    </row>
    <row r="100" spans="1:11" ht="31.5" customHeight="1" x14ac:dyDescent="0.25">
      <c r="A100" s="255" t="s">
        <v>146</v>
      </c>
      <c r="B100" s="256"/>
      <c r="C100" s="256"/>
      <c r="D100" s="256"/>
      <c r="E100" s="256"/>
      <c r="F100" s="256"/>
      <c r="G100" s="256"/>
      <c r="H100" s="256"/>
      <c r="I100" s="256"/>
      <c r="J100" s="256"/>
      <c r="K100" s="257"/>
    </row>
    <row r="101" spans="1:11" ht="31.5" customHeight="1" thickBot="1" x14ac:dyDescent="0.3">
      <c r="A101" s="47" t="s">
        <v>16</v>
      </c>
      <c r="B101" s="24" t="s">
        <v>17</v>
      </c>
      <c r="C101" s="24" t="s">
        <v>1</v>
      </c>
      <c r="D101" s="24" t="s">
        <v>2</v>
      </c>
      <c r="E101" s="24" t="s">
        <v>3</v>
      </c>
      <c r="F101" s="25">
        <v>2017</v>
      </c>
      <c r="G101" s="26">
        <v>2018</v>
      </c>
      <c r="H101" s="26">
        <v>2019</v>
      </c>
      <c r="I101" s="26">
        <v>2020</v>
      </c>
      <c r="J101" s="26">
        <v>2021</v>
      </c>
      <c r="K101" s="5" t="s">
        <v>22</v>
      </c>
    </row>
    <row r="102" spans="1:11" ht="57" customHeight="1" thickBot="1" x14ac:dyDescent="0.3">
      <c r="A102" s="235" t="s">
        <v>185</v>
      </c>
      <c r="C102" s="238" t="s">
        <v>110</v>
      </c>
      <c r="D102" s="7" t="s">
        <v>263</v>
      </c>
      <c r="E102" s="7" t="s">
        <v>280</v>
      </c>
      <c r="F102" s="29">
        <v>20000</v>
      </c>
      <c r="G102" s="29">
        <v>20000</v>
      </c>
      <c r="H102" s="29">
        <v>20000</v>
      </c>
      <c r="I102" s="29">
        <v>10000</v>
      </c>
      <c r="J102" s="29">
        <v>0</v>
      </c>
      <c r="K102" s="34" t="s">
        <v>171</v>
      </c>
    </row>
    <row r="103" spans="1:11" ht="56.25" customHeight="1" thickBot="1" x14ac:dyDescent="0.3">
      <c r="A103" s="236"/>
      <c r="B103" s="109">
        <v>6.1</v>
      </c>
      <c r="C103" s="239"/>
      <c r="D103" s="7" t="s">
        <v>264</v>
      </c>
      <c r="E103" s="7" t="s">
        <v>281</v>
      </c>
      <c r="F103" s="29">
        <v>30000</v>
      </c>
      <c r="G103" s="29">
        <v>60000</v>
      </c>
      <c r="H103" s="29">
        <v>90000</v>
      </c>
      <c r="I103" s="29">
        <v>120000</v>
      </c>
      <c r="J103" s="29">
        <v>150000</v>
      </c>
      <c r="K103" s="34" t="s">
        <v>171</v>
      </c>
    </row>
    <row r="104" spans="1:11" ht="48.75" customHeight="1" thickBot="1" x14ac:dyDescent="0.3">
      <c r="A104" s="236"/>
      <c r="C104" s="240"/>
      <c r="D104" s="6" t="s">
        <v>265</v>
      </c>
      <c r="E104" s="7" t="s">
        <v>282</v>
      </c>
      <c r="F104" s="29">
        <v>20000</v>
      </c>
      <c r="G104" s="29">
        <v>20000</v>
      </c>
      <c r="H104" s="29">
        <v>20000</v>
      </c>
      <c r="I104" s="29">
        <v>20000</v>
      </c>
      <c r="J104" s="29">
        <v>20000</v>
      </c>
      <c r="K104" s="34" t="s">
        <v>171</v>
      </c>
    </row>
    <row r="105" spans="1:11" ht="31.5" customHeight="1" thickBot="1" x14ac:dyDescent="0.3">
      <c r="A105" s="105"/>
      <c r="C105" s="241" t="s">
        <v>111</v>
      </c>
      <c r="D105" s="6" t="s">
        <v>266</v>
      </c>
      <c r="E105" s="6" t="s">
        <v>295</v>
      </c>
      <c r="F105" s="29">
        <v>0</v>
      </c>
      <c r="G105" s="29">
        <v>120000</v>
      </c>
      <c r="H105" s="29">
        <v>0</v>
      </c>
      <c r="I105" s="29">
        <v>0</v>
      </c>
      <c r="J105" s="29">
        <v>0</v>
      </c>
      <c r="K105" s="34" t="s">
        <v>171</v>
      </c>
    </row>
    <row r="106" spans="1:11" ht="48.75" customHeight="1" thickBot="1" x14ac:dyDescent="0.3">
      <c r="A106" s="294" t="s">
        <v>178</v>
      </c>
      <c r="B106" s="67"/>
      <c r="C106" s="239"/>
      <c r="D106" s="6" t="s">
        <v>267</v>
      </c>
      <c r="E106" s="6" t="s">
        <v>296</v>
      </c>
      <c r="F106" s="29">
        <v>69058.069333333522</v>
      </c>
      <c r="G106" s="29">
        <v>69058.069333333522</v>
      </c>
      <c r="H106" s="29">
        <v>69058.069333333522</v>
      </c>
      <c r="I106" s="29">
        <v>69058.069333333522</v>
      </c>
      <c r="J106" s="29">
        <v>69058.069333333522</v>
      </c>
      <c r="K106" s="34" t="s">
        <v>171</v>
      </c>
    </row>
    <row r="107" spans="1:11" ht="31.5" customHeight="1" thickBot="1" x14ac:dyDescent="0.3">
      <c r="A107" s="236"/>
      <c r="B107" s="69"/>
      <c r="C107" s="239"/>
      <c r="D107" s="6" t="s">
        <v>268</v>
      </c>
      <c r="E107" s="6" t="s">
        <v>112</v>
      </c>
      <c r="F107" s="29">
        <v>20000</v>
      </c>
      <c r="G107" s="29">
        <v>20000</v>
      </c>
      <c r="H107" s="29">
        <v>20000</v>
      </c>
      <c r="I107" s="29">
        <v>20000</v>
      </c>
      <c r="J107" s="29">
        <v>20000</v>
      </c>
      <c r="K107" s="34" t="s">
        <v>171</v>
      </c>
    </row>
    <row r="108" spans="1:11" ht="67.5" customHeight="1" thickBot="1" x14ac:dyDescent="0.3">
      <c r="A108" s="236"/>
      <c r="B108" s="69"/>
      <c r="C108" s="239"/>
      <c r="D108" s="6" t="s">
        <v>269</v>
      </c>
      <c r="E108" s="6" t="s">
        <v>297</v>
      </c>
      <c r="F108" s="29">
        <v>100000</v>
      </c>
      <c r="G108" s="29">
        <v>100000</v>
      </c>
      <c r="H108" s="29">
        <v>100000</v>
      </c>
      <c r="I108" s="29">
        <v>100000</v>
      </c>
      <c r="J108" s="29">
        <v>100000</v>
      </c>
      <c r="K108" s="34" t="s">
        <v>171</v>
      </c>
    </row>
    <row r="109" spans="1:11" ht="66" customHeight="1" thickBot="1" x14ac:dyDescent="0.3">
      <c r="A109" s="236"/>
      <c r="B109" s="69"/>
      <c r="C109" s="239"/>
      <c r="D109" s="6" t="s">
        <v>270</v>
      </c>
      <c r="E109" s="6" t="s">
        <v>113</v>
      </c>
      <c r="F109" s="29">
        <v>50000</v>
      </c>
      <c r="G109" s="29">
        <v>50000</v>
      </c>
      <c r="H109" s="29">
        <v>50000</v>
      </c>
      <c r="I109" s="29">
        <v>50000</v>
      </c>
      <c r="J109" s="29">
        <v>50000</v>
      </c>
      <c r="K109" s="34" t="s">
        <v>171</v>
      </c>
    </row>
    <row r="110" spans="1:11" ht="56.25" customHeight="1" thickBot="1" x14ac:dyDescent="0.3">
      <c r="A110" s="236"/>
      <c r="B110" s="70">
        <v>6.2</v>
      </c>
      <c r="C110" s="239"/>
      <c r="D110" s="6" t="s">
        <v>271</v>
      </c>
      <c r="E110" s="6" t="s">
        <v>114</v>
      </c>
      <c r="F110" s="29">
        <v>90000</v>
      </c>
      <c r="G110" s="29">
        <v>90000</v>
      </c>
      <c r="H110" s="29">
        <v>0</v>
      </c>
      <c r="I110" s="29">
        <v>0</v>
      </c>
      <c r="J110" s="29">
        <v>0</v>
      </c>
      <c r="K110" s="34" t="s">
        <v>171</v>
      </c>
    </row>
    <row r="111" spans="1:11" ht="61.5" customHeight="1" thickBot="1" x14ac:dyDescent="0.3">
      <c r="A111" s="236"/>
      <c r="B111" s="69"/>
      <c r="C111" s="239"/>
      <c r="D111" s="6" t="s">
        <v>272</v>
      </c>
      <c r="E111" s="6" t="s">
        <v>298</v>
      </c>
      <c r="F111" s="29">
        <v>0</v>
      </c>
      <c r="G111" s="29">
        <v>150000</v>
      </c>
      <c r="H111" s="29">
        <v>160000</v>
      </c>
      <c r="I111" s="29">
        <v>0</v>
      </c>
      <c r="J111" s="29">
        <v>0</v>
      </c>
      <c r="K111" s="34" t="s">
        <v>171</v>
      </c>
    </row>
    <row r="112" spans="1:11" ht="60.75" customHeight="1" thickBot="1" x14ac:dyDescent="0.3">
      <c r="A112" s="237"/>
      <c r="B112" s="68"/>
      <c r="C112" s="240"/>
      <c r="D112" s="6" t="s">
        <v>273</v>
      </c>
      <c r="E112" s="6" t="s">
        <v>299</v>
      </c>
      <c r="F112" s="29">
        <v>0</v>
      </c>
      <c r="G112" s="29">
        <v>120000</v>
      </c>
      <c r="H112" s="29">
        <v>0</v>
      </c>
      <c r="I112" s="29">
        <v>0</v>
      </c>
      <c r="J112" s="29">
        <v>0</v>
      </c>
      <c r="K112" s="34" t="s">
        <v>171</v>
      </c>
    </row>
    <row r="113" spans="1:11" ht="60.75" customHeight="1" thickBot="1" x14ac:dyDescent="0.3">
      <c r="A113" s="290" t="s">
        <v>179</v>
      </c>
      <c r="C113" s="238" t="s">
        <v>115</v>
      </c>
      <c r="D113" s="6" t="s">
        <v>274</v>
      </c>
      <c r="E113" s="8" t="s">
        <v>300</v>
      </c>
      <c r="F113" s="32">
        <v>1182941.9306666665</v>
      </c>
      <c r="G113" s="32">
        <v>1682941.9306666667</v>
      </c>
      <c r="H113" s="32">
        <v>2182941.9306666669</v>
      </c>
      <c r="I113" s="32">
        <v>2682941.9306666669</v>
      </c>
      <c r="J113" s="32">
        <v>3182941.9306666669</v>
      </c>
      <c r="K113" s="34" t="s">
        <v>171</v>
      </c>
    </row>
    <row r="114" spans="1:11" ht="72" thickBot="1" x14ac:dyDescent="0.3">
      <c r="A114" s="290"/>
      <c r="B114" s="70">
        <v>6.3</v>
      </c>
      <c r="C114" s="239"/>
      <c r="D114" s="15" t="s">
        <v>275</v>
      </c>
      <c r="E114" s="60" t="s">
        <v>301</v>
      </c>
      <c r="F114" s="35"/>
      <c r="G114" s="35"/>
      <c r="H114" s="35"/>
      <c r="I114" s="35"/>
      <c r="J114" s="35"/>
      <c r="K114" s="34" t="s">
        <v>171</v>
      </c>
    </row>
    <row r="115" spans="1:11" ht="30.75" thickBot="1" x14ac:dyDescent="0.3">
      <c r="A115" s="290"/>
      <c r="B115" s="62"/>
      <c r="C115" s="240"/>
      <c r="D115" s="15" t="s">
        <v>276</v>
      </c>
      <c r="E115" s="60" t="s">
        <v>302</v>
      </c>
      <c r="F115" s="110"/>
      <c r="G115" s="110"/>
      <c r="H115" s="110"/>
      <c r="I115" s="110"/>
      <c r="J115" s="110"/>
      <c r="K115" s="34" t="s">
        <v>171</v>
      </c>
    </row>
    <row r="116" spans="1:11" ht="39" customHeight="1" x14ac:dyDescent="0.25">
      <c r="A116" s="77"/>
      <c r="B116" s="79"/>
      <c r="C116" s="79"/>
      <c r="D116" s="72"/>
      <c r="E116" s="72"/>
      <c r="F116" s="111">
        <f>SUM(F102:F115)</f>
        <v>1582000</v>
      </c>
      <c r="G116" s="112">
        <f t="shared" ref="G116:J116" si="5">SUM(G102:G115)</f>
        <v>2502000</v>
      </c>
      <c r="H116" s="112">
        <f t="shared" si="5"/>
        <v>2712000.0000000005</v>
      </c>
      <c r="I116" s="112">
        <f t="shared" si="5"/>
        <v>3072000.0000000005</v>
      </c>
      <c r="J116" s="112">
        <f t="shared" si="5"/>
        <v>3592000.0000000005</v>
      </c>
      <c r="K116" s="113">
        <f>SUM(F116:J116)</f>
        <v>13460000</v>
      </c>
    </row>
    <row r="117" spans="1:11" ht="15.75" thickBot="1" x14ac:dyDescent="0.3">
      <c r="A117" s="77"/>
      <c r="B117" s="79"/>
      <c r="C117" s="79"/>
      <c r="D117" s="72"/>
      <c r="E117" s="72"/>
      <c r="F117" s="114"/>
      <c r="G117" s="115"/>
      <c r="H117" s="115"/>
      <c r="I117" s="115"/>
      <c r="J117" s="115"/>
      <c r="K117" s="116"/>
    </row>
    <row r="119" spans="1:11" ht="31.5" customHeight="1" thickBot="1" x14ac:dyDescent="0.3">
      <c r="A119" s="47" t="s">
        <v>16</v>
      </c>
      <c r="B119" s="24" t="s">
        <v>17</v>
      </c>
      <c r="C119" s="24" t="s">
        <v>1</v>
      </c>
      <c r="D119" s="24" t="s">
        <v>2</v>
      </c>
      <c r="E119" s="24" t="s">
        <v>3</v>
      </c>
      <c r="F119" s="25">
        <v>2017</v>
      </c>
      <c r="G119" s="26">
        <v>2018</v>
      </c>
      <c r="H119" s="26">
        <v>2019</v>
      </c>
      <c r="I119" s="26">
        <v>2020</v>
      </c>
      <c r="J119" s="26">
        <v>2021</v>
      </c>
      <c r="K119" s="5" t="s">
        <v>22</v>
      </c>
    </row>
    <row r="120" spans="1:11" ht="72.75" customHeight="1" thickBot="1" x14ac:dyDescent="0.3">
      <c r="A120" s="235" t="s">
        <v>116</v>
      </c>
      <c r="B120" s="87"/>
      <c r="C120" s="16" t="s">
        <v>117</v>
      </c>
      <c r="D120" s="18" t="s">
        <v>318</v>
      </c>
      <c r="E120" s="6" t="s">
        <v>303</v>
      </c>
      <c r="F120" s="43">
        <v>0</v>
      </c>
      <c r="G120" s="43">
        <v>200000</v>
      </c>
      <c r="H120" s="43">
        <v>300000</v>
      </c>
      <c r="I120" s="43">
        <v>250000</v>
      </c>
      <c r="J120" s="43">
        <v>250000</v>
      </c>
      <c r="K120" s="34" t="s">
        <v>171</v>
      </c>
    </row>
    <row r="121" spans="1:11" ht="56.25" customHeight="1" thickBot="1" x14ac:dyDescent="0.3">
      <c r="A121" s="236"/>
      <c r="B121" s="69"/>
      <c r="C121" s="16" t="s">
        <v>118</v>
      </c>
      <c r="D121" s="18" t="s">
        <v>319</v>
      </c>
      <c r="E121" s="6" t="s">
        <v>304</v>
      </c>
      <c r="F121" s="43">
        <v>0</v>
      </c>
      <c r="G121" s="43">
        <v>100000</v>
      </c>
      <c r="H121" s="43">
        <v>50000</v>
      </c>
      <c r="I121" s="43">
        <v>50000</v>
      </c>
      <c r="J121" s="43">
        <v>0</v>
      </c>
      <c r="K121" s="34" t="s">
        <v>171</v>
      </c>
    </row>
    <row r="122" spans="1:11" ht="31.5" customHeight="1" thickBot="1" x14ac:dyDescent="0.3">
      <c r="A122" s="236"/>
      <c r="B122" s="69"/>
      <c r="C122" s="278" t="s">
        <v>119</v>
      </c>
      <c r="D122" s="18" t="s">
        <v>320</v>
      </c>
      <c r="E122" s="6" t="s">
        <v>120</v>
      </c>
      <c r="F122" s="43">
        <v>0</v>
      </c>
      <c r="G122" s="43">
        <f>3*10000</f>
        <v>30000</v>
      </c>
      <c r="H122" s="43">
        <v>0</v>
      </c>
      <c r="I122" s="43">
        <f>3*10000</f>
        <v>30000</v>
      </c>
      <c r="J122" s="43">
        <v>0</v>
      </c>
      <c r="K122" s="34" t="s">
        <v>171</v>
      </c>
    </row>
    <row r="123" spans="1:11" ht="31.5" customHeight="1" thickBot="1" x14ac:dyDescent="0.3">
      <c r="A123" s="236"/>
      <c r="B123" s="69"/>
      <c r="C123" s="279"/>
      <c r="D123" s="18" t="s">
        <v>321</v>
      </c>
      <c r="E123" s="7" t="s">
        <v>305</v>
      </c>
      <c r="F123" s="43">
        <v>0</v>
      </c>
      <c r="G123" s="43">
        <v>0</v>
      </c>
      <c r="H123" s="43">
        <f>3*50000</f>
        <v>150000</v>
      </c>
      <c r="I123" s="43">
        <f>2*50000</f>
        <v>100000</v>
      </c>
      <c r="J123" s="43">
        <f>2*50000</f>
        <v>100000</v>
      </c>
      <c r="K123" s="34" t="s">
        <v>171</v>
      </c>
    </row>
    <row r="124" spans="1:11" ht="31.5" customHeight="1" thickBot="1" x14ac:dyDescent="0.3">
      <c r="A124" s="236"/>
      <c r="B124" s="70">
        <v>7.1</v>
      </c>
      <c r="C124" s="279"/>
      <c r="D124" s="18" t="s">
        <v>322</v>
      </c>
      <c r="E124" s="7" t="s">
        <v>306</v>
      </c>
      <c r="F124" s="43">
        <v>0</v>
      </c>
      <c r="G124" s="43">
        <v>294000</v>
      </c>
      <c r="H124" s="43">
        <v>294000</v>
      </c>
      <c r="I124" s="43">
        <v>0</v>
      </c>
      <c r="J124" s="43">
        <v>0</v>
      </c>
      <c r="K124" s="34" t="s">
        <v>171</v>
      </c>
    </row>
    <row r="125" spans="1:11" ht="31.5" customHeight="1" thickBot="1" x14ac:dyDescent="0.3">
      <c r="A125" s="236"/>
      <c r="B125" s="69"/>
      <c r="C125" s="279"/>
      <c r="D125" s="18" t="s">
        <v>323</v>
      </c>
      <c r="E125" s="7" t="s">
        <v>307</v>
      </c>
      <c r="F125" s="43">
        <v>0</v>
      </c>
      <c r="G125" s="43">
        <f>3500*13.5*8</f>
        <v>378000</v>
      </c>
      <c r="H125" s="43">
        <f>3500*13.5*8</f>
        <v>378000</v>
      </c>
      <c r="I125" s="43">
        <v>0</v>
      </c>
      <c r="J125" s="43">
        <v>0</v>
      </c>
      <c r="K125" s="34" t="s">
        <v>171</v>
      </c>
    </row>
    <row r="126" spans="1:11" ht="55.5" customHeight="1" thickBot="1" x14ac:dyDescent="0.3">
      <c r="A126" s="236"/>
      <c r="B126" s="68"/>
      <c r="C126" s="280"/>
      <c r="D126" s="6" t="s">
        <v>121</v>
      </c>
      <c r="E126" s="7" t="s">
        <v>308</v>
      </c>
      <c r="F126" s="43">
        <v>0</v>
      </c>
      <c r="G126" s="43">
        <v>15000</v>
      </c>
      <c r="H126" s="43">
        <v>15000</v>
      </c>
      <c r="I126" s="43">
        <v>15000</v>
      </c>
      <c r="J126" s="43">
        <v>15000</v>
      </c>
      <c r="K126" s="34" t="s">
        <v>171</v>
      </c>
    </row>
    <row r="127" spans="1:11" ht="50.25" customHeight="1" thickBot="1" x14ac:dyDescent="0.3">
      <c r="A127" s="237"/>
      <c r="B127" s="63"/>
      <c r="C127" s="16"/>
      <c r="D127" s="44" t="s">
        <v>324</v>
      </c>
      <c r="E127" s="7"/>
      <c r="F127" s="43">
        <v>286133.33333333331</v>
      </c>
      <c r="G127" s="43">
        <v>344689.71849755262</v>
      </c>
      <c r="H127" s="43">
        <v>403246.10366177192</v>
      </c>
      <c r="I127" s="43">
        <v>461802.48882599123</v>
      </c>
      <c r="J127" s="43">
        <v>520358.87399021053</v>
      </c>
      <c r="K127" s="34" t="s">
        <v>171</v>
      </c>
    </row>
    <row r="128" spans="1:11" ht="31.5" customHeight="1" thickBot="1" x14ac:dyDescent="0.3">
      <c r="A128" s="235" t="s">
        <v>181</v>
      </c>
      <c r="B128" s="235">
        <v>7.2</v>
      </c>
      <c r="C128" s="16"/>
      <c r="D128" s="44" t="s">
        <v>325</v>
      </c>
      <c r="E128" s="7"/>
      <c r="F128" s="43">
        <v>4612738.546666665</v>
      </c>
      <c r="G128" s="43">
        <v>5556722.5692684399</v>
      </c>
      <c r="H128" s="43">
        <v>6500706.5918702148</v>
      </c>
      <c r="I128" s="43">
        <v>7444690.6144719897</v>
      </c>
      <c r="J128" s="43">
        <v>8388674.6370737646</v>
      </c>
      <c r="K128" s="34" t="s">
        <v>171</v>
      </c>
    </row>
    <row r="129" spans="1:11" ht="31.5" customHeight="1" thickBot="1" x14ac:dyDescent="0.3">
      <c r="A129" s="236"/>
      <c r="B129" s="236"/>
      <c r="C129" s="238" t="s">
        <v>122</v>
      </c>
      <c r="D129" s="18" t="s">
        <v>326</v>
      </c>
      <c r="E129" s="6" t="s">
        <v>309</v>
      </c>
      <c r="F129" s="43">
        <v>0</v>
      </c>
      <c r="G129" s="43">
        <v>400000</v>
      </c>
      <c r="H129" s="43">
        <v>25000</v>
      </c>
      <c r="I129" s="43">
        <v>25000</v>
      </c>
      <c r="J129" s="43">
        <v>25000</v>
      </c>
      <c r="K129" s="34" t="s">
        <v>171</v>
      </c>
    </row>
    <row r="130" spans="1:11" ht="31.5" customHeight="1" thickBot="1" x14ac:dyDescent="0.3">
      <c r="A130" s="236"/>
      <c r="B130" s="236"/>
      <c r="C130" s="260"/>
      <c r="D130" s="18" t="s">
        <v>327</v>
      </c>
      <c r="E130" s="6" t="s">
        <v>310</v>
      </c>
      <c r="F130" s="43">
        <v>0</v>
      </c>
      <c r="G130" s="43">
        <v>375000</v>
      </c>
      <c r="H130" s="43">
        <v>375000</v>
      </c>
      <c r="I130" s="43">
        <v>375000</v>
      </c>
      <c r="J130" s="43">
        <v>375000</v>
      </c>
      <c r="K130" s="34" t="s">
        <v>171</v>
      </c>
    </row>
    <row r="131" spans="1:11" ht="31.5" customHeight="1" thickBot="1" x14ac:dyDescent="0.3">
      <c r="A131" s="236"/>
      <c r="B131" s="236"/>
      <c r="C131" s="238" t="s">
        <v>123</v>
      </c>
      <c r="D131" s="18" t="s">
        <v>328</v>
      </c>
      <c r="E131" s="6" t="s">
        <v>311</v>
      </c>
      <c r="F131" s="43">
        <v>0</v>
      </c>
      <c r="G131" s="43">
        <v>140400</v>
      </c>
      <c r="H131" s="43">
        <v>140400</v>
      </c>
      <c r="I131" s="43">
        <v>667520</v>
      </c>
      <c r="J131" s="43">
        <v>140400</v>
      </c>
      <c r="K131" s="34" t="s">
        <v>171</v>
      </c>
    </row>
    <row r="132" spans="1:11" ht="62.25" customHeight="1" thickBot="1" x14ac:dyDescent="0.3">
      <c r="A132" s="237"/>
      <c r="B132" s="236"/>
      <c r="C132" s="260"/>
      <c r="D132" s="18" t="s">
        <v>124</v>
      </c>
      <c r="E132" s="6" t="s">
        <v>309</v>
      </c>
      <c r="F132" s="43">
        <v>0</v>
      </c>
      <c r="G132" s="43">
        <v>400000</v>
      </c>
      <c r="H132" s="43">
        <v>25000</v>
      </c>
      <c r="I132" s="43">
        <v>25000</v>
      </c>
      <c r="J132" s="43">
        <v>25000</v>
      </c>
      <c r="K132" s="34" t="s">
        <v>171</v>
      </c>
    </row>
    <row r="133" spans="1:11" ht="79.5" customHeight="1" thickBot="1" x14ac:dyDescent="0.3">
      <c r="A133" s="56" t="s">
        <v>182</v>
      </c>
      <c r="B133" s="117">
        <v>7.3</v>
      </c>
      <c r="C133" s="16" t="s">
        <v>125</v>
      </c>
      <c r="D133" s="18" t="s">
        <v>329</v>
      </c>
      <c r="E133" s="6" t="s">
        <v>312</v>
      </c>
      <c r="F133" s="43">
        <v>1000000</v>
      </c>
      <c r="G133" s="43">
        <v>750000</v>
      </c>
      <c r="H133" s="43">
        <v>750000</v>
      </c>
      <c r="I133" s="43">
        <v>750000</v>
      </c>
      <c r="J133" s="43">
        <v>750000</v>
      </c>
      <c r="K133" s="34" t="s">
        <v>171</v>
      </c>
    </row>
    <row r="134" spans="1:11" ht="40.5" customHeight="1" thickBot="1" x14ac:dyDescent="0.3">
      <c r="A134" s="238" t="s">
        <v>183</v>
      </c>
      <c r="B134" s="246">
        <v>7.4</v>
      </c>
      <c r="C134" s="238" t="s">
        <v>126</v>
      </c>
      <c r="D134" s="18" t="s">
        <v>330</v>
      </c>
      <c r="E134" s="6" t="s">
        <v>316</v>
      </c>
      <c r="F134" s="43">
        <v>200000</v>
      </c>
      <c r="G134" s="43">
        <f>200000+(200000*0.05)</f>
        <v>210000</v>
      </c>
      <c r="H134" s="43">
        <f>G134+(G134*0.05)</f>
        <v>220500</v>
      </c>
      <c r="I134" s="43">
        <f>H134+(H134*0.05)</f>
        <v>231525</v>
      </c>
      <c r="J134" s="43">
        <f>I134+(I134*0.05)</f>
        <v>243101.25</v>
      </c>
      <c r="K134" s="34" t="s">
        <v>171</v>
      </c>
    </row>
    <row r="135" spans="1:11" ht="31.5" customHeight="1" thickBot="1" x14ac:dyDescent="0.3">
      <c r="A135" s="239"/>
      <c r="B135" s="247"/>
      <c r="C135" s="239"/>
      <c r="D135" s="18" t="s">
        <v>331</v>
      </c>
      <c r="E135" s="6" t="s">
        <v>317</v>
      </c>
      <c r="F135" s="43">
        <v>50000</v>
      </c>
      <c r="G135" s="43">
        <v>90000</v>
      </c>
      <c r="H135" s="43">
        <v>0</v>
      </c>
      <c r="I135" s="43">
        <v>0</v>
      </c>
      <c r="J135" s="43">
        <v>0</v>
      </c>
      <c r="K135" s="34" t="s">
        <v>171</v>
      </c>
    </row>
    <row r="136" spans="1:11" ht="31.5" customHeight="1" thickBot="1" x14ac:dyDescent="0.3">
      <c r="A136" s="239"/>
      <c r="B136" s="247"/>
      <c r="C136" s="239"/>
      <c r="D136" s="18" t="s">
        <v>332</v>
      </c>
      <c r="E136" s="6" t="s">
        <v>127</v>
      </c>
      <c r="F136" s="43">
        <v>10000</v>
      </c>
      <c r="G136" s="43">
        <v>10000</v>
      </c>
      <c r="H136" s="43">
        <v>10000</v>
      </c>
      <c r="I136" s="43">
        <v>10000</v>
      </c>
      <c r="J136" s="43">
        <v>10000</v>
      </c>
      <c r="K136" s="34" t="s">
        <v>171</v>
      </c>
    </row>
    <row r="137" spans="1:11" ht="31.5" customHeight="1" thickBot="1" x14ac:dyDescent="0.3">
      <c r="A137" s="260"/>
      <c r="B137" s="248"/>
      <c r="C137" s="260"/>
      <c r="D137" s="18" t="s">
        <v>333</v>
      </c>
      <c r="E137" s="15" t="s">
        <v>128</v>
      </c>
      <c r="F137" s="45">
        <v>30000</v>
      </c>
      <c r="G137" s="45">
        <v>30000</v>
      </c>
      <c r="H137" s="45">
        <v>30000</v>
      </c>
      <c r="I137" s="45">
        <v>30000</v>
      </c>
      <c r="J137" s="45">
        <v>30000</v>
      </c>
      <c r="K137" s="34" t="s">
        <v>171</v>
      </c>
    </row>
    <row r="138" spans="1:11" ht="52.5" customHeight="1" thickBot="1" x14ac:dyDescent="0.3">
      <c r="A138" s="235" t="s">
        <v>184</v>
      </c>
      <c r="B138" s="246">
        <v>7.5</v>
      </c>
      <c r="C138" s="238" t="s">
        <v>129</v>
      </c>
      <c r="D138" s="18" t="s">
        <v>334</v>
      </c>
      <c r="E138" s="15" t="s">
        <v>313</v>
      </c>
      <c r="F138" s="43">
        <v>0</v>
      </c>
      <c r="G138" s="43">
        <v>10000</v>
      </c>
      <c r="H138" s="43">
        <v>10000</v>
      </c>
      <c r="I138" s="43">
        <v>10000</v>
      </c>
      <c r="J138" s="43">
        <v>10000</v>
      </c>
      <c r="K138" s="34" t="s">
        <v>171</v>
      </c>
    </row>
    <row r="139" spans="1:11" ht="60" customHeight="1" thickBot="1" x14ac:dyDescent="0.3">
      <c r="A139" s="236"/>
      <c r="B139" s="247"/>
      <c r="C139" s="260"/>
      <c r="D139" s="18" t="s">
        <v>335</v>
      </c>
      <c r="E139" s="15" t="s">
        <v>314</v>
      </c>
      <c r="F139" s="43">
        <v>0</v>
      </c>
      <c r="G139" s="43">
        <v>0</v>
      </c>
      <c r="H139" s="43">
        <v>12000</v>
      </c>
      <c r="I139" s="43">
        <v>12000</v>
      </c>
      <c r="J139" s="43">
        <v>10000</v>
      </c>
      <c r="K139" s="34" t="s">
        <v>171</v>
      </c>
    </row>
    <row r="140" spans="1:11" ht="44.25" customHeight="1" thickBot="1" x14ac:dyDescent="0.3">
      <c r="A140" s="236"/>
      <c r="B140" s="247"/>
      <c r="C140" s="238" t="s">
        <v>130</v>
      </c>
      <c r="D140" s="18" t="s">
        <v>336</v>
      </c>
      <c r="E140" s="15" t="s">
        <v>315</v>
      </c>
      <c r="F140" s="43">
        <v>0</v>
      </c>
      <c r="G140" s="43">
        <v>20000</v>
      </c>
      <c r="H140" s="43">
        <v>20000</v>
      </c>
      <c r="I140" s="43">
        <v>25000</v>
      </c>
      <c r="J140" s="43">
        <v>25000</v>
      </c>
      <c r="K140" s="34" t="s">
        <v>171</v>
      </c>
    </row>
    <row r="141" spans="1:11" ht="31.5" customHeight="1" thickBot="1" x14ac:dyDescent="0.3">
      <c r="A141" s="236"/>
      <c r="B141" s="247"/>
      <c r="C141" s="239"/>
      <c r="D141" s="18" t="s">
        <v>337</v>
      </c>
      <c r="E141" s="15" t="s">
        <v>131</v>
      </c>
      <c r="F141" s="43">
        <v>0</v>
      </c>
      <c r="G141" s="43">
        <v>30000</v>
      </c>
      <c r="H141" s="43">
        <v>30000</v>
      </c>
      <c r="I141" s="43">
        <v>30000</v>
      </c>
      <c r="J141" s="43">
        <v>35000</v>
      </c>
      <c r="K141" s="34" t="s">
        <v>171</v>
      </c>
    </row>
    <row r="142" spans="1:11" ht="31.5" customHeight="1" x14ac:dyDescent="0.25">
      <c r="A142" s="236"/>
      <c r="B142" s="247"/>
      <c r="C142" s="239"/>
      <c r="D142" s="276" t="s">
        <v>338</v>
      </c>
      <c r="E142" s="281" t="s">
        <v>283</v>
      </c>
      <c r="F142" s="43">
        <v>0</v>
      </c>
      <c r="G142" s="43">
        <v>10000</v>
      </c>
      <c r="H142" s="43">
        <v>10000</v>
      </c>
      <c r="I142" s="43">
        <v>10000</v>
      </c>
      <c r="J142" s="43">
        <v>10000</v>
      </c>
      <c r="K142" s="34" t="s">
        <v>171</v>
      </c>
    </row>
    <row r="143" spans="1:11" ht="31.5" customHeight="1" thickBot="1" x14ac:dyDescent="0.3">
      <c r="A143" s="236"/>
      <c r="B143" s="247"/>
      <c r="C143" s="239"/>
      <c r="D143" s="277"/>
      <c r="E143" s="282"/>
      <c r="F143" s="35"/>
      <c r="G143" s="35"/>
      <c r="H143" s="35"/>
      <c r="I143" s="35"/>
      <c r="J143" s="35"/>
      <c r="K143" s="34" t="s">
        <v>171</v>
      </c>
    </row>
    <row r="144" spans="1:11" ht="40.5" customHeight="1" thickBot="1" x14ac:dyDescent="0.3">
      <c r="A144" s="237"/>
      <c r="B144" s="248"/>
      <c r="C144" s="239"/>
      <c r="D144" s="57" t="s">
        <v>339</v>
      </c>
      <c r="E144" s="19" t="s">
        <v>284</v>
      </c>
      <c r="F144" s="43">
        <v>700000</v>
      </c>
      <c r="G144" s="43">
        <f>700000+(700000*0.08)</f>
        <v>756000</v>
      </c>
      <c r="H144" s="43">
        <f>756000+(756000*0.08)</f>
        <v>816480</v>
      </c>
      <c r="I144" s="43">
        <f>816480+(816480*0.08)</f>
        <v>881798.4</v>
      </c>
      <c r="J144" s="43">
        <f>881798.4+(881798.4*0.08)</f>
        <v>952342.272</v>
      </c>
      <c r="K144" s="34" t="s">
        <v>171</v>
      </c>
    </row>
    <row r="145" spans="1:11" ht="57.75" thickBot="1" x14ac:dyDescent="0.3">
      <c r="A145" s="235" t="s">
        <v>180</v>
      </c>
      <c r="B145" s="246">
        <v>7.6</v>
      </c>
      <c r="C145" s="238" t="s">
        <v>132</v>
      </c>
      <c r="D145" s="20" t="s">
        <v>340</v>
      </c>
      <c r="E145" s="21" t="s">
        <v>133</v>
      </c>
      <c r="F145" s="43">
        <v>700000</v>
      </c>
      <c r="G145" s="43">
        <f>700000+(700000*0.08)</f>
        <v>756000</v>
      </c>
      <c r="H145" s="43">
        <f>756000+(756000*0.08)</f>
        <v>816480</v>
      </c>
      <c r="I145" s="43">
        <f>816480+(816480*0.08)</f>
        <v>881798.4</v>
      </c>
      <c r="J145" s="43">
        <f>881798.4+(881798.4*0.08)</f>
        <v>952342.272</v>
      </c>
      <c r="K145" s="34" t="s">
        <v>171</v>
      </c>
    </row>
    <row r="146" spans="1:11" ht="43.5" thickBot="1" x14ac:dyDescent="0.3">
      <c r="A146" s="236"/>
      <c r="B146" s="247"/>
      <c r="C146" s="239"/>
      <c r="D146" s="7" t="s">
        <v>341</v>
      </c>
      <c r="E146" s="6" t="s">
        <v>134</v>
      </c>
      <c r="F146" s="43">
        <v>0</v>
      </c>
      <c r="G146" s="43">
        <v>80000</v>
      </c>
      <c r="H146" s="43">
        <v>80000</v>
      </c>
      <c r="I146" s="43">
        <v>33000</v>
      </c>
      <c r="J146" s="43">
        <v>0</v>
      </c>
      <c r="K146" s="34" t="s">
        <v>171</v>
      </c>
    </row>
    <row r="147" spans="1:11" ht="43.5" customHeight="1" thickBot="1" x14ac:dyDescent="0.3">
      <c r="A147" s="236"/>
      <c r="B147" s="247"/>
      <c r="C147" s="239"/>
      <c r="D147" s="7" t="s">
        <v>342</v>
      </c>
      <c r="E147" s="6" t="s">
        <v>135</v>
      </c>
      <c r="F147" s="43">
        <v>0</v>
      </c>
      <c r="G147" s="43">
        <v>65000</v>
      </c>
      <c r="H147" s="43">
        <v>0</v>
      </c>
      <c r="I147" s="43">
        <v>0</v>
      </c>
      <c r="J147" s="43">
        <v>0</v>
      </c>
      <c r="K147" s="34" t="s">
        <v>171</v>
      </c>
    </row>
    <row r="148" spans="1:11" ht="41.25" customHeight="1" thickBot="1" x14ac:dyDescent="0.3">
      <c r="A148" s="236"/>
      <c r="B148" s="247"/>
      <c r="C148" s="260"/>
      <c r="D148" s="6" t="s">
        <v>343</v>
      </c>
      <c r="E148" s="6" t="s">
        <v>136</v>
      </c>
      <c r="F148" s="43">
        <v>0</v>
      </c>
      <c r="G148" s="43">
        <v>20000</v>
      </c>
      <c r="H148" s="43">
        <v>20000</v>
      </c>
      <c r="I148" s="43">
        <v>20000</v>
      </c>
      <c r="J148" s="43">
        <v>20000</v>
      </c>
      <c r="K148" s="34" t="s">
        <v>171</v>
      </c>
    </row>
    <row r="149" spans="1:11" ht="91.5" customHeight="1" thickBot="1" x14ac:dyDescent="0.3">
      <c r="A149" s="236"/>
      <c r="B149" s="247"/>
      <c r="C149" s="238" t="s">
        <v>137</v>
      </c>
      <c r="D149" s="7" t="s">
        <v>344</v>
      </c>
      <c r="E149" s="6" t="s">
        <v>138</v>
      </c>
      <c r="F149" s="43">
        <v>0</v>
      </c>
      <c r="G149" s="43">
        <v>15000</v>
      </c>
      <c r="H149" s="43">
        <v>15000</v>
      </c>
      <c r="I149" s="43">
        <v>15000</v>
      </c>
      <c r="J149" s="43">
        <v>15000</v>
      </c>
      <c r="K149" s="34" t="s">
        <v>171</v>
      </c>
    </row>
    <row r="150" spans="1:11" ht="69" customHeight="1" thickBot="1" x14ac:dyDescent="0.3">
      <c r="A150" s="236"/>
      <c r="B150" s="247"/>
      <c r="C150" s="260"/>
      <c r="D150" s="7" t="s">
        <v>345</v>
      </c>
      <c r="E150" s="6" t="s">
        <v>139</v>
      </c>
      <c r="F150" s="43">
        <v>0</v>
      </c>
      <c r="G150" s="43">
        <f>20*400*13.5</f>
        <v>108000</v>
      </c>
      <c r="H150" s="43">
        <f>20*400*13.5</f>
        <v>108000</v>
      </c>
      <c r="I150" s="43">
        <f>20*400*13.5</f>
        <v>108000</v>
      </c>
      <c r="J150" s="43">
        <f>20*400*13.5</f>
        <v>108000</v>
      </c>
      <c r="K150" s="34" t="s">
        <v>171</v>
      </c>
    </row>
    <row r="151" spans="1:11" ht="49.5" customHeight="1" thickBot="1" x14ac:dyDescent="0.3">
      <c r="A151" s="237"/>
      <c r="B151" s="248"/>
      <c r="C151" s="55"/>
      <c r="D151" s="46" t="s">
        <v>346</v>
      </c>
      <c r="E151" s="6"/>
      <c r="F151" s="43">
        <f>22000*12</f>
        <v>264000</v>
      </c>
      <c r="G151" s="43">
        <f>22000*12</f>
        <v>264000</v>
      </c>
      <c r="H151" s="43">
        <f>22000*12</f>
        <v>264000</v>
      </c>
      <c r="I151" s="43">
        <f>22000*12</f>
        <v>264000</v>
      </c>
      <c r="J151" s="43">
        <f>22000*12</f>
        <v>264000</v>
      </c>
      <c r="K151" s="34" t="s">
        <v>171</v>
      </c>
    </row>
    <row r="152" spans="1:11" ht="72" thickBot="1" x14ac:dyDescent="0.3">
      <c r="A152" s="235" t="s">
        <v>140</v>
      </c>
      <c r="B152" s="286">
        <v>7.7</v>
      </c>
      <c r="C152" s="238" t="s">
        <v>141</v>
      </c>
      <c r="D152" s="18" t="s">
        <v>347</v>
      </c>
      <c r="E152" s="6" t="s">
        <v>285</v>
      </c>
      <c r="F152" s="29">
        <v>0</v>
      </c>
      <c r="G152" s="29">
        <v>3000</v>
      </c>
      <c r="H152" s="29">
        <v>3000</v>
      </c>
      <c r="I152" s="29">
        <v>3000</v>
      </c>
      <c r="J152" s="29">
        <v>3000</v>
      </c>
      <c r="K152" s="34" t="s">
        <v>171</v>
      </c>
    </row>
    <row r="153" spans="1:11" ht="31.5" customHeight="1" thickBot="1" x14ac:dyDescent="0.3">
      <c r="A153" s="236"/>
      <c r="B153" s="287"/>
      <c r="C153" s="239"/>
      <c r="D153" s="6" t="s">
        <v>348</v>
      </c>
      <c r="E153" s="6" t="s">
        <v>286</v>
      </c>
      <c r="F153" s="29">
        <v>0</v>
      </c>
      <c r="G153" s="29">
        <v>20000</v>
      </c>
      <c r="H153" s="29">
        <v>20000</v>
      </c>
      <c r="I153" s="29">
        <v>20000</v>
      </c>
      <c r="J153" s="29">
        <v>20000</v>
      </c>
      <c r="K153" s="34" t="s">
        <v>171</v>
      </c>
    </row>
    <row r="154" spans="1:11" ht="68.25" customHeight="1" thickBot="1" x14ac:dyDescent="0.3">
      <c r="A154" s="236"/>
      <c r="B154" s="287"/>
      <c r="C154" s="239"/>
      <c r="D154" s="6" t="s">
        <v>349</v>
      </c>
      <c r="E154" s="7" t="s">
        <v>287</v>
      </c>
      <c r="F154" s="29">
        <v>0</v>
      </c>
      <c r="G154" s="29">
        <v>12000</v>
      </c>
      <c r="H154" s="29">
        <v>9000</v>
      </c>
      <c r="I154" s="29">
        <v>8000</v>
      </c>
      <c r="J154" s="29">
        <v>9000</v>
      </c>
      <c r="K154" s="34" t="s">
        <v>171</v>
      </c>
    </row>
    <row r="155" spans="1:11" ht="66" customHeight="1" thickBot="1" x14ac:dyDescent="0.3">
      <c r="A155" s="236"/>
      <c r="B155" s="287"/>
      <c r="C155" s="239"/>
      <c r="D155" s="6" t="s">
        <v>350</v>
      </c>
      <c r="E155" s="6" t="s">
        <v>288</v>
      </c>
      <c r="F155" s="29">
        <v>800000</v>
      </c>
      <c r="G155" s="29">
        <v>800000</v>
      </c>
      <c r="H155" s="29">
        <v>800000</v>
      </c>
      <c r="I155" s="29">
        <v>800000</v>
      </c>
      <c r="J155" s="29">
        <v>800000</v>
      </c>
      <c r="K155" s="34" t="s">
        <v>171</v>
      </c>
    </row>
    <row r="156" spans="1:11" ht="46.5" customHeight="1" thickBot="1" x14ac:dyDescent="0.3">
      <c r="A156" s="236"/>
      <c r="B156" s="287"/>
      <c r="C156" s="260"/>
      <c r="D156" s="6" t="s">
        <v>351</v>
      </c>
      <c r="E156" s="6" t="s">
        <v>289</v>
      </c>
      <c r="F156" s="29">
        <v>2000000</v>
      </c>
      <c r="G156" s="29">
        <v>2000000</v>
      </c>
      <c r="H156" s="29">
        <v>2000000</v>
      </c>
      <c r="I156" s="29">
        <v>2000000</v>
      </c>
      <c r="J156" s="29">
        <v>2000000</v>
      </c>
      <c r="K156" s="34" t="s">
        <v>171</v>
      </c>
    </row>
    <row r="157" spans="1:11" ht="57.75" thickBot="1" x14ac:dyDescent="0.3">
      <c r="A157" s="236"/>
      <c r="B157" s="287"/>
      <c r="C157" s="238" t="s">
        <v>142</v>
      </c>
      <c r="D157" s="6" t="s">
        <v>352</v>
      </c>
      <c r="E157" s="15" t="s">
        <v>290</v>
      </c>
      <c r="F157" s="29">
        <v>0</v>
      </c>
      <c r="G157" s="29">
        <v>0</v>
      </c>
      <c r="H157" s="29">
        <v>0</v>
      </c>
      <c r="I157" s="29">
        <v>0</v>
      </c>
      <c r="J157" s="29">
        <v>0</v>
      </c>
      <c r="K157" s="34" t="s">
        <v>171</v>
      </c>
    </row>
    <row r="158" spans="1:11" ht="57.75" thickBot="1" x14ac:dyDescent="0.3">
      <c r="A158" s="236"/>
      <c r="B158" s="287"/>
      <c r="C158" s="239"/>
      <c r="D158" s="6" t="s">
        <v>353</v>
      </c>
      <c r="E158" s="15" t="s">
        <v>291</v>
      </c>
      <c r="F158" s="29">
        <v>0</v>
      </c>
      <c r="G158" s="29">
        <v>0</v>
      </c>
      <c r="H158" s="29">
        <v>0</v>
      </c>
      <c r="I158" s="29">
        <v>0</v>
      </c>
      <c r="J158" s="29">
        <v>0</v>
      </c>
      <c r="K158" s="34" t="s">
        <v>171</v>
      </c>
    </row>
    <row r="159" spans="1:11" ht="43.5" thickBot="1" x14ac:dyDescent="0.3">
      <c r="A159" s="237"/>
      <c r="B159" s="288"/>
      <c r="C159" s="260"/>
      <c r="D159" s="6" t="s">
        <v>354</v>
      </c>
      <c r="E159" s="15" t="s">
        <v>292</v>
      </c>
      <c r="F159" s="29">
        <v>0</v>
      </c>
      <c r="G159" s="29">
        <v>0</v>
      </c>
      <c r="H159" s="29">
        <v>0</v>
      </c>
      <c r="I159" s="29">
        <v>0</v>
      </c>
      <c r="J159" s="29">
        <v>0</v>
      </c>
      <c r="K159" s="34" t="s">
        <v>171</v>
      </c>
    </row>
    <row r="160" spans="1:11" ht="31.5" customHeight="1" x14ac:dyDescent="0.25">
      <c r="F160" s="118">
        <f>SUM(F120:F159)</f>
        <v>10652871.879999999</v>
      </c>
      <c r="G160" s="118">
        <f t="shared" ref="G160:J160" si="6">SUM(G120:G159)</f>
        <v>14292812.287765993</v>
      </c>
      <c r="H160" s="118">
        <f t="shared" si="6"/>
        <v>14700812.695531987</v>
      </c>
      <c r="I160" s="118">
        <f t="shared" si="6"/>
        <v>15587134.903297981</v>
      </c>
      <c r="J160" s="118">
        <f t="shared" si="6"/>
        <v>16106219.305063974</v>
      </c>
      <c r="K160" s="118">
        <f>SUM(F160:J160)</f>
        <v>71339851.071659938</v>
      </c>
    </row>
    <row r="163" ht="32.25" customHeight="1" x14ac:dyDescent="0.25"/>
    <row r="164" ht="32.25" customHeight="1" x14ac:dyDescent="0.25"/>
    <row r="165" ht="32.25" customHeight="1" x14ac:dyDescent="0.25"/>
    <row r="166" ht="32.25" customHeight="1" x14ac:dyDescent="0.25"/>
    <row r="167" ht="32.25" customHeight="1" x14ac:dyDescent="0.25"/>
    <row r="168" ht="32.25" customHeight="1" x14ac:dyDescent="0.25"/>
    <row r="169" ht="32.25" customHeight="1" x14ac:dyDescent="0.25"/>
    <row r="170" ht="32.25" customHeight="1" x14ac:dyDescent="0.25"/>
    <row r="171" ht="32.25" customHeight="1" x14ac:dyDescent="0.25"/>
    <row r="172" ht="32.25" customHeight="1" x14ac:dyDescent="0.25"/>
    <row r="173" ht="32.25" customHeight="1" x14ac:dyDescent="0.25"/>
    <row r="174" ht="32.25" customHeight="1" x14ac:dyDescent="0.25"/>
    <row r="175" ht="32.25" customHeight="1" x14ac:dyDescent="0.25"/>
    <row r="176" ht="32.25" customHeight="1" x14ac:dyDescent="0.25"/>
  </sheetData>
  <mergeCells count="77">
    <mergeCell ref="A128:A132"/>
    <mergeCell ref="B128:B132"/>
    <mergeCell ref="B134:B137"/>
    <mergeCell ref="B138:B144"/>
    <mergeCell ref="A138:A144"/>
    <mergeCell ref="A89:A97"/>
    <mergeCell ref="A102:A104"/>
    <mergeCell ref="A106:A112"/>
    <mergeCell ref="A113:A115"/>
    <mergeCell ref="A120:A127"/>
    <mergeCell ref="A58:A64"/>
    <mergeCell ref="A65:A68"/>
    <mergeCell ref="A69:A71"/>
    <mergeCell ref="A75:A80"/>
    <mergeCell ref="A81:A88"/>
    <mergeCell ref="C149:C150"/>
    <mergeCell ref="C152:C156"/>
    <mergeCell ref="C157:C159"/>
    <mergeCell ref="A134:A137"/>
    <mergeCell ref="C134:C137"/>
    <mergeCell ref="C138:C139"/>
    <mergeCell ref="C140:C144"/>
    <mergeCell ref="C145:C148"/>
    <mergeCell ref="B145:B151"/>
    <mergeCell ref="A145:A151"/>
    <mergeCell ref="B152:B159"/>
    <mergeCell ref="A152:A159"/>
    <mergeCell ref="D142:D143"/>
    <mergeCell ref="A36:K36"/>
    <mergeCell ref="A56:K56"/>
    <mergeCell ref="A73:K73"/>
    <mergeCell ref="A100:K100"/>
    <mergeCell ref="C131:C132"/>
    <mergeCell ref="C122:C126"/>
    <mergeCell ref="C129:C130"/>
    <mergeCell ref="E142:E143"/>
    <mergeCell ref="C83:C86"/>
    <mergeCell ref="C87:C88"/>
    <mergeCell ref="C89:C91"/>
    <mergeCell ref="C92:C97"/>
    <mergeCell ref="C102:C104"/>
    <mergeCell ref="C105:C112"/>
    <mergeCell ref="C113:C115"/>
    <mergeCell ref="C75:C78"/>
    <mergeCell ref="C65:C66"/>
    <mergeCell ref="C67:C68"/>
    <mergeCell ref="C69:C71"/>
    <mergeCell ref="C58:C60"/>
    <mergeCell ref="C61:C62"/>
    <mergeCell ref="C63:C64"/>
    <mergeCell ref="A1:K1"/>
    <mergeCell ref="C25:C28"/>
    <mergeCell ref="A29:A33"/>
    <mergeCell ref="C29:C31"/>
    <mergeCell ref="C32:C33"/>
    <mergeCell ref="A13:K13"/>
    <mergeCell ref="C23:C24"/>
    <mergeCell ref="A15:A22"/>
    <mergeCell ref="C11:C12"/>
    <mergeCell ref="F2:J2"/>
    <mergeCell ref="C15:C17"/>
    <mergeCell ref="C18:C22"/>
    <mergeCell ref="A11:A12"/>
    <mergeCell ref="B11:B12"/>
    <mergeCell ref="B9:B10"/>
    <mergeCell ref="A9:A10"/>
    <mergeCell ref="C5:C7"/>
    <mergeCell ref="A38:A43"/>
    <mergeCell ref="A44:A48"/>
    <mergeCell ref="A49:A54"/>
    <mergeCell ref="C38:C42"/>
    <mergeCell ref="C44:C46"/>
    <mergeCell ref="C47:C48"/>
    <mergeCell ref="C49:C53"/>
    <mergeCell ref="A5:A8"/>
    <mergeCell ref="B5:B8"/>
    <mergeCell ref="B15:B22"/>
  </mergeCells>
  <pageMargins left="0.2" right="0.2" top="0.75" bottom="0.75" header="0.3" footer="0.3"/>
  <pageSetup scale="55" fitToHeight="0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D5:J8"/>
  <sheetViews>
    <sheetView workbookViewId="0">
      <selection activeCell="D5" sqref="D5"/>
    </sheetView>
  </sheetViews>
  <sheetFormatPr defaultRowHeight="57" customHeight="1" x14ac:dyDescent="0.25"/>
  <cols>
    <col min="4" max="4" width="50.42578125" customWidth="1"/>
    <col min="5" max="7" width="12.7109375" bestFit="1" customWidth="1"/>
    <col min="8" max="8" width="10.85546875" bestFit="1" customWidth="1"/>
    <col min="9" max="9" width="12.7109375" bestFit="1" customWidth="1"/>
    <col min="10" max="10" width="14.140625" bestFit="1" customWidth="1"/>
  </cols>
  <sheetData>
    <row r="5" spans="4:10" ht="57" customHeight="1" x14ac:dyDescent="0.25">
      <c r="D5" s="13" t="s">
        <v>55</v>
      </c>
      <c r="E5" s="1">
        <v>2929183</v>
      </c>
      <c r="F5" s="1">
        <f>$D$36+($D$36*0.2)</f>
        <v>0</v>
      </c>
      <c r="G5" s="1">
        <f>$D$36+(F5*0.4)</f>
        <v>0</v>
      </c>
      <c r="H5" s="1">
        <f>$D$36+($D$36*0.6)</f>
        <v>0</v>
      </c>
      <c r="I5" s="1">
        <f>$D$36+($D$36*0.8)</f>
        <v>0</v>
      </c>
      <c r="J5" s="14">
        <f t="shared" ref="J5:J8" si="0">SUM(E5:I5)</f>
        <v>2929183</v>
      </c>
    </row>
    <row r="6" spans="4:10" ht="57" customHeight="1" x14ac:dyDescent="0.25">
      <c r="D6" s="13" t="s">
        <v>56</v>
      </c>
      <c r="E6" s="1">
        <v>965340</v>
      </c>
      <c r="F6" s="1">
        <v>965340</v>
      </c>
      <c r="G6" s="1">
        <v>965340</v>
      </c>
      <c r="H6" s="1">
        <v>965340</v>
      </c>
      <c r="I6" s="1">
        <v>965340</v>
      </c>
      <c r="J6" s="14">
        <f t="shared" si="0"/>
        <v>4826700</v>
      </c>
    </row>
    <row r="7" spans="4:10" ht="57" customHeight="1" x14ac:dyDescent="0.25">
      <c r="D7" s="13" t="s">
        <v>29</v>
      </c>
      <c r="E7" s="1">
        <v>0</v>
      </c>
      <c r="F7" s="1">
        <f>5*15000</f>
        <v>75000</v>
      </c>
      <c r="G7" s="1">
        <f>5*15000</f>
        <v>75000</v>
      </c>
      <c r="H7" s="1">
        <f>5*15000</f>
        <v>75000</v>
      </c>
      <c r="I7" s="1">
        <f>5*15000</f>
        <v>75000</v>
      </c>
      <c r="J7" s="14">
        <f t="shared" si="0"/>
        <v>300000</v>
      </c>
    </row>
    <row r="8" spans="4:10" ht="57" customHeight="1" x14ac:dyDescent="0.25">
      <c r="D8" s="13" t="s">
        <v>30</v>
      </c>
      <c r="E8" s="1">
        <f>30*100*12</f>
        <v>36000</v>
      </c>
      <c r="F8" s="1">
        <f>30*100*12*2</f>
        <v>72000</v>
      </c>
      <c r="G8" s="1">
        <f>100*100*12</f>
        <v>120000</v>
      </c>
      <c r="H8" s="1">
        <f>100*100*12</f>
        <v>120000</v>
      </c>
      <c r="I8" s="1">
        <f>100*100*12</f>
        <v>120000</v>
      </c>
      <c r="J8" s="14">
        <f t="shared" si="0"/>
        <v>468000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AG159"/>
  <sheetViews>
    <sheetView tabSelected="1" zoomScale="70" zoomScaleNormal="70" workbookViewId="0">
      <selection sqref="A1:AE1"/>
    </sheetView>
  </sheetViews>
  <sheetFormatPr defaultColWidth="9.140625" defaultRowHeight="32.25" customHeight="1" x14ac:dyDescent="0.25"/>
  <cols>
    <col min="1" max="1" width="18" style="22" customWidth="1"/>
    <col min="2" max="2" width="9.5703125" style="90" customWidth="1"/>
    <col min="3" max="3" width="25.140625" style="22" customWidth="1"/>
    <col min="4" max="4" width="41.7109375" style="22" customWidth="1"/>
    <col min="5" max="5" width="33.85546875" style="22" customWidth="1"/>
    <col min="6" max="7" width="4.5703125" style="150" customWidth="1"/>
    <col min="8" max="8" width="5" style="150" customWidth="1"/>
    <col min="9" max="9" width="5.42578125" style="150" customWidth="1"/>
    <col min="10" max="10" width="16.5703125" style="154" bestFit="1" customWidth="1"/>
    <col min="11" max="11" width="5.7109375" style="22" customWidth="1"/>
    <col min="12" max="12" width="5.140625" style="22" customWidth="1"/>
    <col min="13" max="13" width="5.5703125" style="22" customWidth="1"/>
    <col min="14" max="14" width="6.140625" style="22" customWidth="1"/>
    <col min="15" max="15" width="16.5703125" style="154" bestFit="1" customWidth="1"/>
    <col min="16" max="16" width="5.7109375" style="22" customWidth="1"/>
    <col min="17" max="17" width="5.140625" style="22" customWidth="1"/>
    <col min="18" max="18" width="5.5703125" style="22" customWidth="1"/>
    <col min="19" max="19" width="6.140625" style="22" customWidth="1"/>
    <col min="20" max="20" width="16.5703125" style="22" bestFit="1" customWidth="1"/>
    <col min="21" max="21" width="5.7109375" style="22" customWidth="1"/>
    <col min="22" max="22" width="5.140625" style="22" customWidth="1"/>
    <col min="23" max="23" width="5.5703125" style="22" customWidth="1"/>
    <col min="24" max="24" width="6.140625" style="22" customWidth="1"/>
    <col min="25" max="25" width="16.28515625" style="22" customWidth="1"/>
    <col min="26" max="26" width="5.7109375" style="22" customWidth="1"/>
    <col min="27" max="27" width="5.140625" style="22" customWidth="1"/>
    <col min="28" max="28" width="5.5703125" style="22" customWidth="1"/>
    <col min="29" max="29" width="6.140625" style="22" customWidth="1"/>
    <col min="30" max="30" width="16.5703125" style="22" bestFit="1" customWidth="1"/>
    <col min="31" max="31" width="28.28515625" style="22" customWidth="1"/>
    <col min="32" max="16384" width="9.140625" style="22"/>
  </cols>
  <sheetData>
    <row r="1" spans="1:31" ht="43.9" customHeight="1" thickBot="1" x14ac:dyDescent="0.55000000000000004">
      <c r="A1" s="309" t="s">
        <v>81</v>
      </c>
      <c r="B1" s="310"/>
      <c r="C1" s="310"/>
      <c r="D1" s="310"/>
      <c r="E1" s="310"/>
      <c r="F1" s="310"/>
      <c r="G1" s="310"/>
      <c r="H1" s="310"/>
      <c r="I1" s="310"/>
      <c r="J1" s="310"/>
      <c r="K1" s="310"/>
      <c r="L1" s="310"/>
      <c r="M1" s="310"/>
      <c r="N1" s="310"/>
      <c r="O1" s="310"/>
      <c r="P1" s="310"/>
      <c r="Q1" s="310"/>
      <c r="R1" s="310"/>
      <c r="S1" s="310"/>
      <c r="T1" s="310"/>
      <c r="U1" s="310"/>
      <c r="V1" s="310"/>
      <c r="W1" s="310"/>
      <c r="X1" s="310"/>
      <c r="Y1" s="310"/>
      <c r="Z1" s="310"/>
      <c r="AA1" s="310"/>
      <c r="AB1" s="310"/>
      <c r="AC1" s="310"/>
      <c r="AD1" s="310"/>
      <c r="AE1" s="311"/>
    </row>
    <row r="2" spans="1:31" ht="31.5" customHeight="1" x14ac:dyDescent="0.25">
      <c r="A2" s="2"/>
      <c r="B2" s="84"/>
      <c r="C2" s="3"/>
      <c r="D2" s="3"/>
      <c r="E2" s="3"/>
      <c r="F2" s="149"/>
      <c r="G2" s="149"/>
      <c r="H2" s="149"/>
      <c r="I2" s="149"/>
      <c r="J2" s="262" t="s">
        <v>15</v>
      </c>
      <c r="K2" s="262"/>
      <c r="L2" s="262"/>
      <c r="M2" s="262"/>
      <c r="N2" s="262"/>
      <c r="O2" s="263"/>
      <c r="P2" s="263"/>
      <c r="Q2" s="263"/>
      <c r="R2" s="263"/>
      <c r="S2" s="263"/>
      <c r="T2" s="263"/>
      <c r="U2" s="263"/>
      <c r="V2" s="263"/>
      <c r="W2" s="263"/>
      <c r="X2" s="263"/>
      <c r="Y2" s="263"/>
      <c r="Z2" s="263"/>
      <c r="AA2" s="263"/>
      <c r="AB2" s="263"/>
      <c r="AC2" s="263"/>
      <c r="AD2" s="263"/>
      <c r="AE2" s="4"/>
    </row>
    <row r="3" spans="1:31" s="199" customFormat="1" ht="31.5" customHeight="1" x14ac:dyDescent="0.3">
      <c r="A3" s="220" t="s">
        <v>16</v>
      </c>
      <c r="B3" s="219" t="s">
        <v>17</v>
      </c>
      <c r="C3" s="221" t="s">
        <v>1</v>
      </c>
      <c r="D3" s="221" t="s">
        <v>2</v>
      </c>
      <c r="E3" s="221" t="s">
        <v>3</v>
      </c>
      <c r="F3" s="312">
        <v>2017</v>
      </c>
      <c r="G3" s="313"/>
      <c r="H3" s="313"/>
      <c r="I3" s="313"/>
      <c r="J3" s="314"/>
      <c r="K3" s="312">
        <v>2018</v>
      </c>
      <c r="L3" s="313"/>
      <c r="M3" s="313"/>
      <c r="N3" s="313"/>
      <c r="O3" s="314"/>
      <c r="P3" s="312">
        <v>2019</v>
      </c>
      <c r="Q3" s="313"/>
      <c r="R3" s="313"/>
      <c r="S3" s="313"/>
      <c r="T3" s="314"/>
      <c r="U3" s="312">
        <v>2020</v>
      </c>
      <c r="V3" s="313"/>
      <c r="W3" s="313"/>
      <c r="X3" s="313"/>
      <c r="Y3" s="314"/>
      <c r="Z3" s="312">
        <v>2021</v>
      </c>
      <c r="AA3" s="313"/>
      <c r="AB3" s="313"/>
      <c r="AC3" s="313"/>
      <c r="AD3" s="314"/>
      <c r="AE3" s="222" t="s">
        <v>22</v>
      </c>
    </row>
    <row r="4" spans="1:31" ht="31.5" customHeight="1" thickBot="1" x14ac:dyDescent="0.3">
      <c r="A4" s="299" t="s">
        <v>371</v>
      </c>
      <c r="B4" s="299"/>
      <c r="C4" s="300"/>
      <c r="D4" s="215"/>
      <c r="E4" s="215"/>
      <c r="F4" s="216" t="s">
        <v>360</v>
      </c>
      <c r="G4" s="216" t="s">
        <v>361</v>
      </c>
      <c r="H4" s="216" t="s">
        <v>363</v>
      </c>
      <c r="I4" s="216" t="s">
        <v>362</v>
      </c>
      <c r="J4" s="223" t="s">
        <v>359</v>
      </c>
      <c r="K4" s="215" t="s">
        <v>360</v>
      </c>
      <c r="L4" s="215" t="s">
        <v>361</v>
      </c>
      <c r="M4" s="215" t="s">
        <v>363</v>
      </c>
      <c r="N4" s="215" t="s">
        <v>362</v>
      </c>
      <c r="O4" s="223" t="s">
        <v>370</v>
      </c>
      <c r="P4" s="215" t="s">
        <v>360</v>
      </c>
      <c r="Q4" s="215" t="s">
        <v>361</v>
      </c>
      <c r="R4" s="215" t="s">
        <v>363</v>
      </c>
      <c r="S4" s="215" t="s">
        <v>362</v>
      </c>
      <c r="T4" s="223" t="s">
        <v>364</v>
      </c>
      <c r="U4" s="215" t="s">
        <v>360</v>
      </c>
      <c r="V4" s="215" t="s">
        <v>361</v>
      </c>
      <c r="W4" s="215" t="s">
        <v>363</v>
      </c>
      <c r="X4" s="215" t="s">
        <v>362</v>
      </c>
      <c r="Y4" s="223" t="s">
        <v>365</v>
      </c>
      <c r="Z4" s="215" t="s">
        <v>360</v>
      </c>
      <c r="AA4" s="215" t="s">
        <v>361</v>
      </c>
      <c r="AB4" s="215" t="s">
        <v>363</v>
      </c>
      <c r="AC4" s="215" t="s">
        <v>362</v>
      </c>
      <c r="AD4" s="223" t="s">
        <v>366</v>
      </c>
      <c r="AE4" s="54"/>
    </row>
    <row r="5" spans="1:31" ht="54" customHeight="1" x14ac:dyDescent="0.25">
      <c r="A5" s="243" t="s">
        <v>0</v>
      </c>
      <c r="B5" s="243">
        <v>1.1000000000000001</v>
      </c>
      <c r="C5" s="234" t="s">
        <v>4</v>
      </c>
      <c r="D5" s="133" t="s">
        <v>10</v>
      </c>
      <c r="E5" s="52" t="s">
        <v>157</v>
      </c>
      <c r="F5" s="143"/>
      <c r="G5" s="143"/>
      <c r="H5" s="143" t="s">
        <v>367</v>
      </c>
      <c r="I5" s="143" t="s">
        <v>367</v>
      </c>
      <c r="J5" s="172">
        <v>0</v>
      </c>
      <c r="K5" s="52"/>
      <c r="L5" s="52"/>
      <c r="M5" s="143" t="s">
        <v>367</v>
      </c>
      <c r="N5" s="52"/>
      <c r="O5" s="172">
        <v>180000</v>
      </c>
      <c r="P5" s="52"/>
      <c r="Q5" s="52"/>
      <c r="R5" s="143" t="s">
        <v>367</v>
      </c>
      <c r="S5" s="52"/>
      <c r="T5" s="175">
        <v>180000</v>
      </c>
      <c r="U5" s="52"/>
      <c r="V5" s="52"/>
      <c r="W5" s="143" t="s">
        <v>367</v>
      </c>
      <c r="X5" s="52"/>
      <c r="Y5" s="175">
        <v>0</v>
      </c>
      <c r="Z5" s="52"/>
      <c r="AA5" s="52"/>
      <c r="AB5" s="143" t="s">
        <v>367</v>
      </c>
      <c r="AC5" s="52"/>
      <c r="AD5" s="175">
        <v>0</v>
      </c>
      <c r="AE5" s="35" t="s">
        <v>19</v>
      </c>
    </row>
    <row r="6" spans="1:31" ht="46.5" customHeight="1" x14ac:dyDescent="0.25">
      <c r="A6" s="244"/>
      <c r="B6" s="244"/>
      <c r="C6" s="234"/>
      <c r="D6" s="133" t="s">
        <v>13</v>
      </c>
      <c r="E6" s="28" t="s">
        <v>14</v>
      </c>
      <c r="F6" s="143"/>
      <c r="G6" s="143"/>
      <c r="H6" s="143"/>
      <c r="I6" s="143" t="s">
        <v>367</v>
      </c>
      <c r="J6" s="172">
        <v>20000</v>
      </c>
      <c r="K6" s="28"/>
      <c r="L6" s="28"/>
      <c r="M6" s="143" t="s">
        <v>367</v>
      </c>
      <c r="N6" s="28"/>
      <c r="O6" s="172">
        <v>20000</v>
      </c>
      <c r="P6" s="28"/>
      <c r="Q6" s="28"/>
      <c r="R6" s="143" t="s">
        <v>367</v>
      </c>
      <c r="S6" s="28"/>
      <c r="T6" s="175">
        <v>20000</v>
      </c>
      <c r="U6" s="28"/>
      <c r="V6" s="28"/>
      <c r="W6" s="143" t="s">
        <v>367</v>
      </c>
      <c r="X6" s="28"/>
      <c r="Y6" s="175">
        <v>20000</v>
      </c>
      <c r="Z6" s="28"/>
      <c r="AA6" s="28"/>
      <c r="AB6" s="143" t="s">
        <v>367</v>
      </c>
      <c r="AC6" s="28"/>
      <c r="AD6" s="175">
        <v>20000</v>
      </c>
      <c r="AE6" s="35" t="s">
        <v>19</v>
      </c>
    </row>
    <row r="7" spans="1:31" ht="40.9" customHeight="1" x14ac:dyDescent="0.25">
      <c r="A7" s="244"/>
      <c r="B7" s="244"/>
      <c r="C7" s="234"/>
      <c r="D7" s="133" t="s">
        <v>11</v>
      </c>
      <c r="E7" s="28" t="s">
        <v>26</v>
      </c>
      <c r="F7" s="143" t="s">
        <v>367</v>
      </c>
      <c r="G7" s="143" t="s">
        <v>367</v>
      </c>
      <c r="H7" s="143" t="s">
        <v>367</v>
      </c>
      <c r="I7" s="143" t="s">
        <v>367</v>
      </c>
      <c r="J7" s="172">
        <v>0</v>
      </c>
      <c r="K7" s="143" t="s">
        <v>367</v>
      </c>
      <c r="L7" s="143" t="s">
        <v>367</v>
      </c>
      <c r="M7" s="143" t="s">
        <v>367</v>
      </c>
      <c r="N7" s="28"/>
      <c r="O7" s="172">
        <v>0</v>
      </c>
      <c r="P7" s="143" t="s">
        <v>367</v>
      </c>
      <c r="Q7" s="143" t="s">
        <v>367</v>
      </c>
      <c r="R7" s="143" t="s">
        <v>367</v>
      </c>
      <c r="S7" s="143" t="s">
        <v>367</v>
      </c>
      <c r="T7" s="175">
        <v>0</v>
      </c>
      <c r="U7" s="143" t="s">
        <v>367</v>
      </c>
      <c r="V7" s="143" t="s">
        <v>367</v>
      </c>
      <c r="W7" s="143" t="s">
        <v>367</v>
      </c>
      <c r="X7" s="143" t="s">
        <v>367</v>
      </c>
      <c r="Y7" s="175">
        <v>0</v>
      </c>
      <c r="Z7" s="143" t="s">
        <v>367</v>
      </c>
      <c r="AA7" s="143" t="s">
        <v>367</v>
      </c>
      <c r="AB7" s="143" t="s">
        <v>367</v>
      </c>
      <c r="AC7" s="143" t="s">
        <v>367</v>
      </c>
      <c r="AD7" s="175">
        <v>0</v>
      </c>
      <c r="AE7" s="35" t="s">
        <v>19</v>
      </c>
    </row>
    <row r="8" spans="1:31" ht="49.9" customHeight="1" thickBot="1" x14ac:dyDescent="0.3">
      <c r="A8" s="245"/>
      <c r="B8" s="245"/>
      <c r="C8" s="134" t="s">
        <v>5</v>
      </c>
      <c r="D8" s="133" t="s">
        <v>18</v>
      </c>
      <c r="E8" s="30" t="s">
        <v>12</v>
      </c>
      <c r="F8" s="144"/>
      <c r="G8" s="144"/>
      <c r="H8" s="144"/>
      <c r="I8" s="144"/>
      <c r="J8" s="172">
        <v>0</v>
      </c>
      <c r="K8" s="30"/>
      <c r="L8" s="143" t="s">
        <v>367</v>
      </c>
      <c r="M8" s="143" t="s">
        <v>367</v>
      </c>
      <c r="N8" s="30"/>
      <c r="O8" s="172">
        <f>10*60000</f>
        <v>600000</v>
      </c>
      <c r="P8" s="30"/>
      <c r="Q8" s="143" t="s">
        <v>367</v>
      </c>
      <c r="R8" s="143" t="s">
        <v>367</v>
      </c>
      <c r="S8" s="30"/>
      <c r="T8" s="175">
        <f>8*60000</f>
        <v>480000</v>
      </c>
      <c r="U8" s="30"/>
      <c r="V8" s="143" t="s">
        <v>367</v>
      </c>
      <c r="W8" s="143" t="s">
        <v>367</v>
      </c>
      <c r="X8" s="30"/>
      <c r="Y8" s="175">
        <f>7*60000</f>
        <v>420000</v>
      </c>
      <c r="Z8" s="143" t="s">
        <v>367</v>
      </c>
      <c r="AA8" s="143"/>
      <c r="AB8" s="143"/>
      <c r="AC8" s="30"/>
      <c r="AD8" s="175">
        <f>6*60000</f>
        <v>360000</v>
      </c>
      <c r="AE8" s="35" t="s">
        <v>19</v>
      </c>
    </row>
    <row r="9" spans="1:31" ht="57" x14ac:dyDescent="0.25">
      <c r="A9" s="274" t="s">
        <v>6</v>
      </c>
      <c r="B9" s="274">
        <v>1.2</v>
      </c>
      <c r="C9" s="133"/>
      <c r="D9" s="133" t="s">
        <v>355</v>
      </c>
      <c r="E9" s="133" t="s">
        <v>20</v>
      </c>
      <c r="F9" s="145"/>
      <c r="G9" s="145"/>
      <c r="H9" s="143" t="s">
        <v>367</v>
      </c>
      <c r="I9" s="145"/>
      <c r="J9" s="172">
        <f>300*150*13.5</f>
        <v>607500</v>
      </c>
      <c r="K9" s="133"/>
      <c r="L9" s="143" t="s">
        <v>367</v>
      </c>
      <c r="M9" s="143" t="s">
        <v>367</v>
      </c>
      <c r="N9" s="133"/>
      <c r="O9" s="172">
        <f>300*150*13.5+76000</f>
        <v>683500</v>
      </c>
      <c r="P9" s="133"/>
      <c r="Q9" s="143" t="s">
        <v>367</v>
      </c>
      <c r="R9" s="133"/>
      <c r="S9" s="133"/>
      <c r="T9" s="175">
        <f>300*150*13.5+76000</f>
        <v>683500</v>
      </c>
      <c r="U9" s="133"/>
      <c r="V9" s="143" t="s">
        <v>367</v>
      </c>
      <c r="W9" s="133"/>
      <c r="X9" s="133"/>
      <c r="Y9" s="175">
        <f>300*150*13.5</f>
        <v>607500</v>
      </c>
      <c r="Z9" s="133"/>
      <c r="AA9" s="143" t="s">
        <v>367</v>
      </c>
      <c r="AB9" s="133"/>
      <c r="AC9" s="133"/>
      <c r="AD9" s="175">
        <f>300*150*13.5</f>
        <v>607500</v>
      </c>
      <c r="AE9" s="135" t="s">
        <v>358</v>
      </c>
    </row>
    <row r="10" spans="1:31" ht="47.25" customHeight="1" x14ac:dyDescent="0.25">
      <c r="A10" s="271"/>
      <c r="B10" s="271"/>
      <c r="C10" s="133" t="s">
        <v>7</v>
      </c>
      <c r="D10" s="133" t="s">
        <v>356</v>
      </c>
      <c r="E10" s="30" t="s">
        <v>25</v>
      </c>
      <c r="F10" s="144"/>
      <c r="G10" s="143" t="s">
        <v>367</v>
      </c>
      <c r="H10" s="143" t="s">
        <v>367</v>
      </c>
      <c r="I10" s="144"/>
      <c r="J10" s="172">
        <v>26040</v>
      </c>
      <c r="K10" s="143" t="s">
        <v>367</v>
      </c>
      <c r="L10" s="30"/>
      <c r="M10" s="143" t="s">
        <v>367</v>
      </c>
      <c r="N10" s="30"/>
      <c r="O10" s="172">
        <v>26040</v>
      </c>
      <c r="P10" s="143" t="s">
        <v>367</v>
      </c>
      <c r="Q10" s="30"/>
      <c r="R10" s="143" t="s">
        <v>367</v>
      </c>
      <c r="S10" s="30"/>
      <c r="T10" s="175">
        <v>26040</v>
      </c>
      <c r="U10" s="143" t="s">
        <v>367</v>
      </c>
      <c r="V10" s="30"/>
      <c r="W10" s="143" t="s">
        <v>367</v>
      </c>
      <c r="X10" s="30"/>
      <c r="Y10" s="175">
        <v>26040</v>
      </c>
      <c r="Z10" s="143" t="s">
        <v>367</v>
      </c>
      <c r="AA10" s="30"/>
      <c r="AB10" s="143" t="s">
        <v>367</v>
      </c>
      <c r="AC10" s="30"/>
      <c r="AD10" s="175">
        <v>26040</v>
      </c>
      <c r="AE10" s="135" t="s">
        <v>358</v>
      </c>
    </row>
    <row r="11" spans="1:31" s="231" customFormat="1" ht="51" customHeight="1" x14ac:dyDescent="0.25">
      <c r="A11" s="295" t="s">
        <v>8</v>
      </c>
      <c r="B11" s="297">
        <v>1.3</v>
      </c>
      <c r="C11" s="301" t="s">
        <v>9</v>
      </c>
      <c r="D11" s="224" t="s">
        <v>21</v>
      </c>
      <c r="E11" s="225" t="s">
        <v>24</v>
      </c>
      <c r="F11" s="226"/>
      <c r="G11" s="226"/>
      <c r="H11" s="226"/>
      <c r="I11" s="226"/>
      <c r="J11" s="227">
        <v>75000</v>
      </c>
      <c r="K11" s="225"/>
      <c r="L11" s="228" t="s">
        <v>367</v>
      </c>
      <c r="M11" s="228" t="s">
        <v>367</v>
      </c>
      <c r="N11" s="225"/>
      <c r="O11" s="227">
        <v>80000</v>
      </c>
      <c r="P11" s="225"/>
      <c r="Q11" s="225"/>
      <c r="R11" s="225"/>
      <c r="S11" s="225"/>
      <c r="T11" s="229">
        <v>75000</v>
      </c>
      <c r="U11" s="225"/>
      <c r="V11" s="225"/>
      <c r="W11" s="225"/>
      <c r="X11" s="225"/>
      <c r="Y11" s="229">
        <v>75000</v>
      </c>
      <c r="Z11" s="225"/>
      <c r="AA11" s="228" t="s">
        <v>367</v>
      </c>
      <c r="AB11" s="228" t="s">
        <v>367</v>
      </c>
      <c r="AC11" s="225"/>
      <c r="AD11" s="229">
        <v>75000</v>
      </c>
      <c r="AE11" s="230" t="s">
        <v>358</v>
      </c>
    </row>
    <row r="12" spans="1:31" s="231" customFormat="1" ht="63.75" customHeight="1" x14ac:dyDescent="0.25">
      <c r="A12" s="296"/>
      <c r="B12" s="298"/>
      <c r="C12" s="301"/>
      <c r="D12" s="225" t="s">
        <v>357</v>
      </c>
      <c r="E12" s="225" t="s">
        <v>23</v>
      </c>
      <c r="F12" s="226"/>
      <c r="G12" s="226"/>
      <c r="H12" s="226"/>
      <c r="I12" s="228" t="s">
        <v>367</v>
      </c>
      <c r="J12" s="227">
        <v>20000</v>
      </c>
      <c r="K12" s="228" t="s">
        <v>367</v>
      </c>
      <c r="L12" s="228" t="s">
        <v>367</v>
      </c>
      <c r="M12" s="228" t="s">
        <v>367</v>
      </c>
      <c r="N12" s="228" t="s">
        <v>367</v>
      </c>
      <c r="O12" s="227">
        <v>15000</v>
      </c>
      <c r="P12" s="228" t="s">
        <v>367</v>
      </c>
      <c r="Q12" s="228" t="s">
        <v>367</v>
      </c>
      <c r="R12" s="225"/>
      <c r="S12" s="225"/>
      <c r="T12" s="229">
        <v>15000</v>
      </c>
      <c r="U12" s="225"/>
      <c r="V12" s="225"/>
      <c r="W12" s="225"/>
      <c r="X12" s="225"/>
      <c r="Y12" s="229">
        <v>0</v>
      </c>
      <c r="Z12" s="225"/>
      <c r="AA12" s="225"/>
      <c r="AB12" s="225"/>
      <c r="AC12" s="225"/>
      <c r="AD12" s="229">
        <v>0</v>
      </c>
      <c r="AE12" s="230" t="s">
        <v>358</v>
      </c>
    </row>
    <row r="13" spans="1:31" ht="27" customHeight="1" x14ac:dyDescent="0.35">
      <c r="A13" s="305" t="s">
        <v>372</v>
      </c>
      <c r="B13" s="306"/>
      <c r="C13" s="306"/>
      <c r="D13" s="306"/>
      <c r="E13" s="306"/>
      <c r="F13" s="306"/>
      <c r="G13" s="306"/>
      <c r="H13" s="306"/>
      <c r="I13" s="306"/>
      <c r="J13" s="306"/>
      <c r="K13" s="306"/>
      <c r="L13" s="306"/>
      <c r="M13" s="306"/>
      <c r="N13" s="306"/>
      <c r="O13" s="306"/>
      <c r="P13" s="306"/>
      <c r="Q13" s="306"/>
      <c r="R13" s="306"/>
      <c r="S13" s="306"/>
      <c r="T13" s="306"/>
      <c r="U13" s="306"/>
      <c r="V13" s="306"/>
      <c r="W13" s="306"/>
      <c r="X13" s="306"/>
      <c r="Y13" s="306"/>
      <c r="Z13" s="306"/>
      <c r="AA13" s="306"/>
      <c r="AB13" s="306"/>
      <c r="AC13" s="306"/>
      <c r="AD13" s="306"/>
      <c r="AE13" s="307"/>
    </row>
    <row r="14" spans="1:31" ht="31.5" customHeight="1" thickBot="1" x14ac:dyDescent="0.3">
      <c r="A14" s="23" t="s">
        <v>16</v>
      </c>
      <c r="B14" s="24" t="s">
        <v>17</v>
      </c>
      <c r="C14" s="24" t="s">
        <v>1</v>
      </c>
      <c r="D14" s="24" t="s">
        <v>2</v>
      </c>
      <c r="E14" s="24" t="s">
        <v>3</v>
      </c>
      <c r="F14" s="142"/>
      <c r="G14" s="142"/>
      <c r="H14" s="142"/>
      <c r="I14" s="142"/>
      <c r="J14" s="25">
        <v>2017</v>
      </c>
      <c r="K14" s="48"/>
      <c r="L14" s="48"/>
      <c r="M14" s="48"/>
      <c r="N14" s="48"/>
      <c r="O14" s="26">
        <v>2018</v>
      </c>
      <c r="P14" s="48"/>
      <c r="Q14" s="48"/>
      <c r="R14" s="48"/>
      <c r="S14" s="48"/>
      <c r="T14" s="26">
        <v>2019</v>
      </c>
      <c r="U14" s="48"/>
      <c r="V14" s="48"/>
      <c r="W14" s="48"/>
      <c r="X14" s="48"/>
      <c r="Y14" s="26">
        <v>2020</v>
      </c>
      <c r="Z14" s="48"/>
      <c r="AA14" s="48"/>
      <c r="AB14" s="48"/>
      <c r="AC14" s="48"/>
      <c r="AD14" s="26">
        <v>2021</v>
      </c>
      <c r="AE14" s="5" t="s">
        <v>22</v>
      </c>
    </row>
    <row r="15" spans="1:31" ht="75.75" customHeight="1" thickBot="1" x14ac:dyDescent="0.3">
      <c r="A15" s="239" t="s">
        <v>36</v>
      </c>
      <c r="B15" s="246">
        <v>2.1</v>
      </c>
      <c r="C15" s="264" t="s">
        <v>27</v>
      </c>
      <c r="D15" s="6" t="s">
        <v>40</v>
      </c>
      <c r="E15" s="15" t="s">
        <v>39</v>
      </c>
      <c r="F15" s="143" t="s">
        <v>367</v>
      </c>
      <c r="G15" s="143" t="s">
        <v>367</v>
      </c>
      <c r="H15" s="147"/>
      <c r="I15" s="147"/>
      <c r="J15" s="172">
        <f>15*100000</f>
        <v>1500000</v>
      </c>
      <c r="K15" s="143" t="s">
        <v>367</v>
      </c>
      <c r="L15" s="143" t="s">
        <v>367</v>
      </c>
      <c r="M15" s="60"/>
      <c r="N15" s="60"/>
      <c r="O15" s="172">
        <f>25*100000</f>
        <v>2500000</v>
      </c>
      <c r="P15" s="143" t="s">
        <v>367</v>
      </c>
      <c r="Q15" s="143" t="s">
        <v>367</v>
      </c>
      <c r="R15" s="60"/>
      <c r="S15" s="60"/>
      <c r="T15" s="175">
        <f>30*100000</f>
        <v>3000000</v>
      </c>
      <c r="U15" s="143"/>
      <c r="V15" s="143"/>
      <c r="W15" s="60"/>
      <c r="X15" s="60"/>
      <c r="Y15" s="175">
        <v>0</v>
      </c>
      <c r="Z15" s="60"/>
      <c r="AA15" s="60"/>
      <c r="AB15" s="60"/>
      <c r="AC15" s="60"/>
      <c r="AD15" s="162">
        <f>35*100000</f>
        <v>3500000</v>
      </c>
      <c r="AE15" s="34"/>
    </row>
    <row r="16" spans="1:31" ht="55.5" customHeight="1" thickBot="1" x14ac:dyDescent="0.3">
      <c r="A16" s="239"/>
      <c r="B16" s="247"/>
      <c r="C16" s="265"/>
      <c r="D16" s="6" t="s">
        <v>41</v>
      </c>
      <c r="E16" s="151" t="s">
        <v>42</v>
      </c>
      <c r="F16" s="143" t="s">
        <v>367</v>
      </c>
      <c r="G16" s="143" t="s">
        <v>367</v>
      </c>
      <c r="H16" s="152"/>
      <c r="I16" s="152"/>
      <c r="J16" s="172">
        <f>50*1550</f>
        <v>77500</v>
      </c>
      <c r="K16" s="143" t="s">
        <v>367</v>
      </c>
      <c r="L16" s="143" t="s">
        <v>367</v>
      </c>
      <c r="M16" s="153"/>
      <c r="N16" s="153"/>
      <c r="O16" s="172">
        <f>120*1550</f>
        <v>186000</v>
      </c>
      <c r="P16" s="143" t="s">
        <v>367</v>
      </c>
      <c r="Q16" s="143" t="s">
        <v>367</v>
      </c>
      <c r="R16" s="153"/>
      <c r="S16" s="153"/>
      <c r="T16" s="175">
        <f>130*1550</f>
        <v>201500</v>
      </c>
      <c r="U16" s="153"/>
      <c r="V16" s="143" t="s">
        <v>367</v>
      </c>
      <c r="W16" s="143" t="s">
        <v>367</v>
      </c>
      <c r="X16" s="153"/>
      <c r="Y16" s="175">
        <f>40*1550</f>
        <v>62000</v>
      </c>
      <c r="Z16" s="153"/>
      <c r="AA16" s="153"/>
      <c r="AB16" s="153"/>
      <c r="AC16" s="153"/>
      <c r="AD16" s="162">
        <v>0</v>
      </c>
      <c r="AE16" s="34"/>
    </row>
    <row r="17" spans="1:31" ht="53.25" customHeight="1" thickBot="1" x14ac:dyDescent="0.3">
      <c r="A17" s="239"/>
      <c r="B17" s="247"/>
      <c r="C17" s="266"/>
      <c r="D17" s="6" t="s">
        <v>43</v>
      </c>
      <c r="E17" s="15" t="s">
        <v>44</v>
      </c>
      <c r="F17" s="147"/>
      <c r="G17" s="147"/>
      <c r="H17" s="143" t="s">
        <v>367</v>
      </c>
      <c r="I17" s="143" t="s">
        <v>367</v>
      </c>
      <c r="J17" s="172">
        <f>975*80*12</f>
        <v>936000</v>
      </c>
      <c r="K17" s="143" t="s">
        <v>367</v>
      </c>
      <c r="L17" s="143" t="s">
        <v>367</v>
      </c>
      <c r="M17" s="143" t="s">
        <v>367</v>
      </c>
      <c r="N17" s="143" t="s">
        <v>367</v>
      </c>
      <c r="O17" s="172">
        <f>975*80*12</f>
        <v>936000</v>
      </c>
      <c r="P17" s="143" t="s">
        <v>367</v>
      </c>
      <c r="Q17" s="143" t="s">
        <v>367</v>
      </c>
      <c r="R17" s="143" t="s">
        <v>367</v>
      </c>
      <c r="S17" s="143" t="s">
        <v>367</v>
      </c>
      <c r="T17" s="175">
        <f>975*80*12</f>
        <v>936000</v>
      </c>
      <c r="U17" s="143" t="s">
        <v>367</v>
      </c>
      <c r="V17" s="143" t="s">
        <v>367</v>
      </c>
      <c r="W17" s="143" t="s">
        <v>367</v>
      </c>
      <c r="X17" s="143" t="s">
        <v>367</v>
      </c>
      <c r="Y17" s="175">
        <f>975*80*12</f>
        <v>936000</v>
      </c>
      <c r="Z17" s="143" t="s">
        <v>367</v>
      </c>
      <c r="AA17" s="143" t="s">
        <v>367</v>
      </c>
      <c r="AB17" s="143" t="s">
        <v>367</v>
      </c>
      <c r="AC17" s="143" t="s">
        <v>367</v>
      </c>
      <c r="AD17" s="162">
        <f>975*80*12</f>
        <v>936000</v>
      </c>
      <c r="AE17" s="34"/>
    </row>
    <row r="18" spans="1:31" ht="51" customHeight="1" thickBot="1" x14ac:dyDescent="0.3">
      <c r="A18" s="239"/>
      <c r="B18" s="247"/>
      <c r="C18" s="267" t="s">
        <v>28</v>
      </c>
      <c r="D18" s="6" t="s">
        <v>48</v>
      </c>
      <c r="E18" s="15" t="s">
        <v>45</v>
      </c>
      <c r="F18" s="143" t="s">
        <v>367</v>
      </c>
      <c r="G18" s="147"/>
      <c r="H18" s="143" t="s">
        <v>367</v>
      </c>
      <c r="I18" s="143" t="s">
        <v>367</v>
      </c>
      <c r="J18" s="172">
        <v>2929183</v>
      </c>
      <c r="K18" s="143" t="s">
        <v>367</v>
      </c>
      <c r="L18" s="147"/>
      <c r="M18" s="143" t="s">
        <v>367</v>
      </c>
      <c r="N18" s="143" t="s">
        <v>367</v>
      </c>
      <c r="O18" s="195">
        <f>J18+(J18*0.4)</f>
        <v>4100856.2</v>
      </c>
      <c r="P18" s="143" t="s">
        <v>367</v>
      </c>
      <c r="Q18" s="147"/>
      <c r="R18" s="143" t="s">
        <v>367</v>
      </c>
      <c r="S18" s="143" t="s">
        <v>367</v>
      </c>
      <c r="T18" s="196">
        <f>J18+(O18*0.4)</f>
        <v>4569525.4800000004</v>
      </c>
      <c r="U18" s="143" t="s">
        <v>367</v>
      </c>
      <c r="V18" s="147"/>
      <c r="W18" s="143" t="s">
        <v>367</v>
      </c>
      <c r="X18" s="143" t="s">
        <v>367</v>
      </c>
      <c r="Y18" s="196">
        <f>J18+(T18*0.4)</f>
        <v>4756993.1919999998</v>
      </c>
      <c r="Z18" s="143" t="s">
        <v>367</v>
      </c>
      <c r="AA18" s="147"/>
      <c r="AB18" s="143" t="s">
        <v>367</v>
      </c>
      <c r="AC18" s="143" t="s">
        <v>367</v>
      </c>
      <c r="AD18" s="165">
        <f>J18+(Y18*0.4)</f>
        <v>4831980.2768000001</v>
      </c>
      <c r="AE18" s="34"/>
    </row>
    <row r="19" spans="1:31" ht="43.5" thickBot="1" x14ac:dyDescent="0.3">
      <c r="A19" s="239"/>
      <c r="B19" s="247"/>
      <c r="C19" s="268"/>
      <c r="D19" s="6" t="s">
        <v>49</v>
      </c>
      <c r="E19" s="15" t="s">
        <v>46</v>
      </c>
      <c r="F19" s="147"/>
      <c r="G19" s="147"/>
      <c r="H19" s="143" t="s">
        <v>367</v>
      </c>
      <c r="I19" s="147"/>
      <c r="J19" s="183"/>
      <c r="K19" s="60"/>
      <c r="L19" s="60"/>
      <c r="M19" s="143" t="s">
        <v>367</v>
      </c>
      <c r="N19" s="60"/>
      <c r="O19" s="183"/>
      <c r="P19" s="60"/>
      <c r="Q19" s="60"/>
      <c r="R19" s="143" t="s">
        <v>367</v>
      </c>
      <c r="S19" s="60"/>
      <c r="T19" s="184"/>
      <c r="U19" s="60"/>
      <c r="V19" s="60"/>
      <c r="W19" s="143" t="s">
        <v>367</v>
      </c>
      <c r="X19" s="60"/>
      <c r="Y19" s="184"/>
      <c r="Z19" s="60"/>
      <c r="AA19" s="60"/>
      <c r="AB19" s="143" t="s">
        <v>367</v>
      </c>
      <c r="AC19" s="60"/>
      <c r="AD19" s="166"/>
      <c r="AE19" s="34"/>
    </row>
    <row r="20" spans="1:31" ht="29.25" thickBot="1" x14ac:dyDescent="0.3">
      <c r="A20" s="239"/>
      <c r="B20" s="247"/>
      <c r="C20" s="268"/>
      <c r="D20" s="6" t="s">
        <v>50</v>
      </c>
      <c r="E20" s="15" t="s">
        <v>47</v>
      </c>
      <c r="F20" s="143" t="s">
        <v>367</v>
      </c>
      <c r="G20" s="147"/>
      <c r="H20" s="143" t="s">
        <v>367</v>
      </c>
      <c r="I20" s="143" t="s">
        <v>367</v>
      </c>
      <c r="J20" s="172">
        <v>965340</v>
      </c>
      <c r="K20" s="143" t="s">
        <v>367</v>
      </c>
      <c r="L20" s="147"/>
      <c r="M20" s="143" t="s">
        <v>367</v>
      </c>
      <c r="N20" s="143" t="s">
        <v>367</v>
      </c>
      <c r="O20" s="172">
        <v>965340</v>
      </c>
      <c r="P20" s="143" t="s">
        <v>367</v>
      </c>
      <c r="Q20" s="147"/>
      <c r="R20" s="143" t="s">
        <v>367</v>
      </c>
      <c r="S20" s="143" t="s">
        <v>367</v>
      </c>
      <c r="T20" s="175">
        <v>965340</v>
      </c>
      <c r="U20" s="143" t="s">
        <v>367</v>
      </c>
      <c r="V20" s="147"/>
      <c r="W20" s="143" t="s">
        <v>367</v>
      </c>
      <c r="X20" s="143" t="s">
        <v>367</v>
      </c>
      <c r="Y20" s="175">
        <v>965340</v>
      </c>
      <c r="Z20" s="143" t="s">
        <v>367</v>
      </c>
      <c r="AA20" s="147"/>
      <c r="AB20" s="143" t="s">
        <v>367</v>
      </c>
      <c r="AC20" s="143" t="s">
        <v>367</v>
      </c>
      <c r="AD20" s="162">
        <v>965340</v>
      </c>
      <c r="AE20" s="34"/>
    </row>
    <row r="21" spans="1:31" ht="29.25" thickBot="1" x14ac:dyDescent="0.3">
      <c r="A21" s="239"/>
      <c r="B21" s="247"/>
      <c r="C21" s="268"/>
      <c r="D21" s="6" t="s">
        <v>51</v>
      </c>
      <c r="E21" s="15" t="s">
        <v>52</v>
      </c>
      <c r="F21" s="147"/>
      <c r="G21" s="147"/>
      <c r="H21" s="147"/>
      <c r="I21" s="147"/>
      <c r="J21" s="172">
        <v>0</v>
      </c>
      <c r="K21" s="60"/>
      <c r="L21" s="143" t="s">
        <v>367</v>
      </c>
      <c r="M21" s="60"/>
      <c r="N21" s="60"/>
      <c r="O21" s="172">
        <f>5*15000</f>
        <v>75000</v>
      </c>
      <c r="P21" s="60"/>
      <c r="Q21" s="143" t="s">
        <v>367</v>
      </c>
      <c r="R21" s="60"/>
      <c r="S21" s="60"/>
      <c r="T21" s="175">
        <f>5*15000</f>
        <v>75000</v>
      </c>
      <c r="U21" s="60"/>
      <c r="V21" s="143" t="s">
        <v>367</v>
      </c>
      <c r="W21" s="60"/>
      <c r="X21" s="60"/>
      <c r="Y21" s="175">
        <f>5*15000</f>
        <v>75000</v>
      </c>
      <c r="Z21" s="60"/>
      <c r="AA21" s="143" t="s">
        <v>367</v>
      </c>
      <c r="AB21" s="60"/>
      <c r="AC21" s="60"/>
      <c r="AD21" s="162">
        <f>5*15000</f>
        <v>75000</v>
      </c>
      <c r="AE21" s="34"/>
    </row>
    <row r="22" spans="1:31" ht="29.25" thickBot="1" x14ac:dyDescent="0.3">
      <c r="A22" s="260"/>
      <c r="B22" s="248"/>
      <c r="C22" s="269"/>
      <c r="D22" s="6" t="s">
        <v>53</v>
      </c>
      <c r="E22" s="15" t="s">
        <v>54</v>
      </c>
      <c r="F22" s="147"/>
      <c r="G22" s="147"/>
      <c r="H22" s="143" t="s">
        <v>367</v>
      </c>
      <c r="I22" s="143" t="s">
        <v>367</v>
      </c>
      <c r="J22" s="172">
        <f>30*100*12</f>
        <v>36000</v>
      </c>
      <c r="K22" s="143" t="s">
        <v>367</v>
      </c>
      <c r="L22" s="60"/>
      <c r="M22" s="60"/>
      <c r="N22" s="60"/>
      <c r="O22" s="172">
        <f>30*100*12*2</f>
        <v>72000</v>
      </c>
      <c r="P22" s="143" t="s">
        <v>367</v>
      </c>
      <c r="Q22" s="60"/>
      <c r="R22" s="60"/>
      <c r="S22" s="60"/>
      <c r="T22" s="175">
        <f>100*100*12</f>
        <v>120000</v>
      </c>
      <c r="U22" s="143" t="s">
        <v>367</v>
      </c>
      <c r="V22" s="60"/>
      <c r="W22" s="60"/>
      <c r="X22" s="60"/>
      <c r="Y22" s="175">
        <f>100*100*12</f>
        <v>120000</v>
      </c>
      <c r="Z22" s="143" t="s">
        <v>367</v>
      </c>
      <c r="AA22" s="60"/>
      <c r="AB22" s="60"/>
      <c r="AC22" s="60"/>
      <c r="AD22" s="162">
        <f>100*100*12</f>
        <v>120000</v>
      </c>
      <c r="AE22" s="34"/>
    </row>
    <row r="23" spans="1:31" ht="43.5" thickBot="1" x14ac:dyDescent="0.3">
      <c r="A23" s="123"/>
      <c r="B23" s="87"/>
      <c r="C23" s="258" t="s">
        <v>32</v>
      </c>
      <c r="D23" s="6" t="s">
        <v>63</v>
      </c>
      <c r="E23" s="15" t="s">
        <v>57</v>
      </c>
      <c r="F23" s="147"/>
      <c r="G23" s="147"/>
      <c r="H23" s="147"/>
      <c r="I23" s="147"/>
      <c r="J23" s="172">
        <v>0</v>
      </c>
      <c r="K23" s="143" t="s">
        <v>367</v>
      </c>
      <c r="L23" s="143" t="s">
        <v>367</v>
      </c>
      <c r="M23" s="60"/>
      <c r="N23" s="60"/>
      <c r="O23" s="172">
        <f>1107*400+(7800*120)</f>
        <v>1378800</v>
      </c>
      <c r="P23" s="143" t="s">
        <v>367</v>
      </c>
      <c r="Q23" s="143" t="s">
        <v>367</v>
      </c>
      <c r="R23" s="60"/>
      <c r="S23" s="60"/>
      <c r="T23" s="175">
        <f>1107*400</f>
        <v>442800</v>
      </c>
      <c r="U23" s="143" t="s">
        <v>367</v>
      </c>
      <c r="V23" s="143" t="s">
        <v>367</v>
      </c>
      <c r="W23" s="60"/>
      <c r="X23" s="60"/>
      <c r="Y23" s="175">
        <f>1107*400+(7800*140)</f>
        <v>1534800</v>
      </c>
      <c r="Z23" s="143" t="s">
        <v>367</v>
      </c>
      <c r="AA23" s="143" t="s">
        <v>367</v>
      </c>
      <c r="AB23" s="60"/>
      <c r="AC23" s="60"/>
      <c r="AD23" s="162">
        <f>1107*400+(7800*60)</f>
        <v>910800</v>
      </c>
      <c r="AE23" s="34"/>
    </row>
    <row r="24" spans="1:31" ht="105.75" thickBot="1" x14ac:dyDescent="0.3">
      <c r="A24" s="125" t="s">
        <v>31</v>
      </c>
      <c r="B24" s="122">
        <v>2.2000000000000002</v>
      </c>
      <c r="C24" s="259"/>
      <c r="D24" s="6" t="s">
        <v>64</v>
      </c>
      <c r="E24" s="15" t="s">
        <v>58</v>
      </c>
      <c r="F24" s="143" t="s">
        <v>367</v>
      </c>
      <c r="G24" s="147"/>
      <c r="H24" s="143" t="s">
        <v>367</v>
      </c>
      <c r="I24" s="143" t="s">
        <v>367</v>
      </c>
      <c r="J24" s="172">
        <f>60000*3</f>
        <v>180000</v>
      </c>
      <c r="K24" s="143" t="s">
        <v>367</v>
      </c>
      <c r="L24" s="147"/>
      <c r="M24" s="143" t="s">
        <v>367</v>
      </c>
      <c r="N24" s="143" t="s">
        <v>367</v>
      </c>
      <c r="O24" s="172">
        <f>60000*3</f>
        <v>180000</v>
      </c>
      <c r="P24" s="143" t="s">
        <v>367</v>
      </c>
      <c r="Q24" s="147"/>
      <c r="R24" s="143" t="s">
        <v>367</v>
      </c>
      <c r="S24" s="143" t="s">
        <v>367</v>
      </c>
      <c r="T24" s="175">
        <f>60000*3</f>
        <v>180000</v>
      </c>
      <c r="U24" s="143" t="s">
        <v>367</v>
      </c>
      <c r="V24" s="147"/>
      <c r="W24" s="143" t="s">
        <v>367</v>
      </c>
      <c r="X24" s="143" t="s">
        <v>367</v>
      </c>
      <c r="Y24" s="175">
        <f>60000*3</f>
        <v>180000</v>
      </c>
      <c r="Z24" s="143" t="s">
        <v>367</v>
      </c>
      <c r="AA24" s="147"/>
      <c r="AB24" s="143" t="s">
        <v>367</v>
      </c>
      <c r="AC24" s="143" t="s">
        <v>367</v>
      </c>
      <c r="AD24" s="162">
        <f>60000*3</f>
        <v>180000</v>
      </c>
      <c r="AE24" s="34"/>
    </row>
    <row r="25" spans="1:31" ht="43.5" thickBot="1" x14ac:dyDescent="0.3">
      <c r="A25" s="36"/>
      <c r="B25" s="86"/>
      <c r="C25" s="250" t="s">
        <v>33</v>
      </c>
      <c r="D25" s="6" t="s">
        <v>65</v>
      </c>
      <c r="E25" s="15" t="s">
        <v>59</v>
      </c>
      <c r="F25" s="147"/>
      <c r="G25" s="147"/>
      <c r="H25" s="147"/>
      <c r="I25" s="147"/>
      <c r="J25" s="172">
        <v>0</v>
      </c>
      <c r="K25" s="60"/>
      <c r="L25" s="60"/>
      <c r="M25" s="60"/>
      <c r="N25" s="143" t="s">
        <v>367</v>
      </c>
      <c r="O25" s="172">
        <v>70000</v>
      </c>
      <c r="P25" s="60"/>
      <c r="Q25" s="60"/>
      <c r="R25" s="60"/>
      <c r="S25" s="60"/>
      <c r="T25" s="175">
        <v>0</v>
      </c>
      <c r="U25" s="60"/>
      <c r="V25" s="60"/>
      <c r="W25" s="60"/>
      <c r="X25" s="60"/>
      <c r="Y25" s="175">
        <v>0</v>
      </c>
      <c r="Z25" s="60"/>
      <c r="AA25" s="60"/>
      <c r="AB25" s="60"/>
      <c r="AC25" s="60"/>
      <c r="AD25" s="162">
        <v>0</v>
      </c>
      <c r="AE25" s="34"/>
    </row>
    <row r="26" spans="1:31" ht="72" thickBot="1" x14ac:dyDescent="0.3">
      <c r="A26" s="125"/>
      <c r="B26" s="86"/>
      <c r="C26" s="251"/>
      <c r="D26" s="6" t="s">
        <v>66</v>
      </c>
      <c r="E26" s="15" t="s">
        <v>60</v>
      </c>
      <c r="F26" s="147"/>
      <c r="G26" s="147"/>
      <c r="H26" s="147"/>
      <c r="I26" s="147"/>
      <c r="J26" s="172">
        <v>0</v>
      </c>
      <c r="K26" s="60"/>
      <c r="L26" s="60"/>
      <c r="M26" s="60"/>
      <c r="N26" s="60"/>
      <c r="O26" s="172">
        <v>0</v>
      </c>
      <c r="P26" s="60"/>
      <c r="Q26" s="60"/>
      <c r="R26" s="143" t="s">
        <v>367</v>
      </c>
      <c r="S26" s="143" t="s">
        <v>367</v>
      </c>
      <c r="T26" s="175">
        <v>94000</v>
      </c>
      <c r="U26" s="60"/>
      <c r="V26" s="60"/>
      <c r="W26" s="60"/>
      <c r="X26" s="60"/>
      <c r="Y26" s="175">
        <v>0</v>
      </c>
      <c r="Z26" s="60"/>
      <c r="AA26" s="60"/>
      <c r="AB26" s="60"/>
      <c r="AC26" s="60"/>
      <c r="AD26" s="162">
        <v>0</v>
      </c>
      <c r="AE26" s="34"/>
    </row>
    <row r="27" spans="1:31" ht="43.5" thickBot="1" x14ac:dyDescent="0.3">
      <c r="A27" s="36"/>
      <c r="B27" s="86"/>
      <c r="C27" s="251"/>
      <c r="D27" s="6" t="s">
        <v>67</v>
      </c>
      <c r="E27" s="15" t="s">
        <v>61</v>
      </c>
      <c r="F27" s="147"/>
      <c r="G27" s="147"/>
      <c r="H27" s="147"/>
      <c r="I27" s="147"/>
      <c r="J27" s="172">
        <v>0</v>
      </c>
      <c r="K27" s="143" t="s">
        <v>367</v>
      </c>
      <c r="L27" s="60"/>
      <c r="M27" s="60"/>
      <c r="N27" s="143" t="s">
        <v>367</v>
      </c>
      <c r="O27" s="172">
        <v>118000</v>
      </c>
      <c r="P27" s="60"/>
      <c r="Q27" s="60"/>
      <c r="R27" s="60"/>
      <c r="S27" s="60"/>
      <c r="T27" s="175">
        <v>100000</v>
      </c>
      <c r="U27" s="60"/>
      <c r="V27" s="60"/>
      <c r="W27" s="60"/>
      <c r="X27" s="60"/>
      <c r="Y27" s="175">
        <v>0</v>
      </c>
      <c r="Z27" s="60"/>
      <c r="AA27" s="60"/>
      <c r="AB27" s="60"/>
      <c r="AC27" s="60"/>
      <c r="AD27" s="175">
        <v>0</v>
      </c>
      <c r="AE27" s="34"/>
    </row>
    <row r="28" spans="1:31" ht="29.25" thickBot="1" x14ac:dyDescent="0.3">
      <c r="A28" s="124"/>
      <c r="B28" s="89"/>
      <c r="C28" s="252"/>
      <c r="D28" s="6" t="s">
        <v>68</v>
      </c>
      <c r="E28" s="15" t="s">
        <v>62</v>
      </c>
      <c r="F28" s="147"/>
      <c r="G28" s="147"/>
      <c r="H28" s="147"/>
      <c r="I28" s="147"/>
      <c r="J28" s="172">
        <v>0</v>
      </c>
      <c r="K28" s="60"/>
      <c r="L28" s="60"/>
      <c r="M28" s="143" t="s">
        <v>367</v>
      </c>
      <c r="N28" s="60"/>
      <c r="O28" s="172">
        <v>516375</v>
      </c>
      <c r="P28" s="60"/>
      <c r="Q28" s="143" t="s">
        <v>367</v>
      </c>
      <c r="R28" s="60"/>
      <c r="S28" s="60"/>
      <c r="T28" s="175">
        <v>631125</v>
      </c>
      <c r="U28" s="60"/>
      <c r="V28" s="60"/>
      <c r="W28" s="60"/>
      <c r="X28" s="60"/>
      <c r="Y28" s="175">
        <v>0</v>
      </c>
      <c r="Z28" s="60"/>
      <c r="AA28" s="60"/>
      <c r="AB28" s="60"/>
      <c r="AC28" s="60"/>
      <c r="AD28" s="175">
        <v>0</v>
      </c>
      <c r="AE28" s="34"/>
    </row>
    <row r="29" spans="1:31" ht="43.5" thickBot="1" x14ac:dyDescent="0.3">
      <c r="A29" s="253" t="s">
        <v>37</v>
      </c>
      <c r="B29" s="87"/>
      <c r="C29" s="238" t="s">
        <v>34</v>
      </c>
      <c r="D29" s="6" t="s">
        <v>75</v>
      </c>
      <c r="E29" s="15" t="s">
        <v>69</v>
      </c>
      <c r="F29" s="147"/>
      <c r="G29" s="147"/>
      <c r="H29" s="147"/>
      <c r="I29" s="147"/>
      <c r="J29" s="172">
        <v>20000</v>
      </c>
      <c r="K29" s="143" t="s">
        <v>367</v>
      </c>
      <c r="L29" s="143" t="s">
        <v>367</v>
      </c>
      <c r="M29" s="143" t="s">
        <v>367</v>
      </c>
      <c r="N29" s="143" t="s">
        <v>367</v>
      </c>
      <c r="O29" s="172">
        <v>20000</v>
      </c>
      <c r="P29" s="143" t="s">
        <v>367</v>
      </c>
      <c r="Q29" s="143" t="s">
        <v>367</v>
      </c>
      <c r="R29" s="143" t="s">
        <v>367</v>
      </c>
      <c r="S29" s="143" t="s">
        <v>367</v>
      </c>
      <c r="T29" s="175">
        <v>20000</v>
      </c>
      <c r="U29" s="143" t="s">
        <v>367</v>
      </c>
      <c r="V29" s="143" t="s">
        <v>367</v>
      </c>
      <c r="W29" s="143" t="s">
        <v>367</v>
      </c>
      <c r="X29" s="143" t="s">
        <v>367</v>
      </c>
      <c r="Y29" s="175">
        <v>20000</v>
      </c>
      <c r="Z29" s="143" t="s">
        <v>367</v>
      </c>
      <c r="AA29" s="143" t="s">
        <v>367</v>
      </c>
      <c r="AB29" s="143" t="s">
        <v>367</v>
      </c>
      <c r="AC29" s="143" t="s">
        <v>367</v>
      </c>
      <c r="AD29" s="175">
        <v>20000</v>
      </c>
      <c r="AE29" s="34"/>
    </row>
    <row r="30" spans="1:31" ht="29.25" thickBot="1" x14ac:dyDescent="0.3">
      <c r="A30" s="253"/>
      <c r="B30" s="122">
        <v>2.2999999999999998</v>
      </c>
      <c r="C30" s="239"/>
      <c r="D30" s="6" t="s">
        <v>76</v>
      </c>
      <c r="E30" s="15" t="s">
        <v>70</v>
      </c>
      <c r="F30" s="147"/>
      <c r="G30" s="147"/>
      <c r="H30" s="143" t="s">
        <v>367</v>
      </c>
      <c r="I30" s="147"/>
      <c r="J30" s="172">
        <v>40000</v>
      </c>
      <c r="K30" s="60"/>
      <c r="L30" s="60"/>
      <c r="M30" s="143" t="s">
        <v>367</v>
      </c>
      <c r="N30" s="60"/>
      <c r="O30" s="172">
        <v>40000</v>
      </c>
      <c r="P30" s="60"/>
      <c r="Q30" s="60"/>
      <c r="R30" s="143" t="s">
        <v>367</v>
      </c>
      <c r="S30" s="60"/>
      <c r="T30" s="175">
        <v>40000</v>
      </c>
      <c r="U30" s="60"/>
      <c r="V30" s="60"/>
      <c r="W30" s="143" t="s">
        <v>367</v>
      </c>
      <c r="X30" s="60"/>
      <c r="Y30" s="175">
        <v>40000</v>
      </c>
      <c r="Z30" s="60"/>
      <c r="AA30" s="143" t="s">
        <v>367</v>
      </c>
      <c r="AB30" s="60"/>
      <c r="AC30" s="60"/>
      <c r="AD30" s="175">
        <v>40000</v>
      </c>
      <c r="AE30" s="34"/>
    </row>
    <row r="31" spans="1:31" ht="43.5" thickBot="1" x14ac:dyDescent="0.3">
      <c r="A31" s="253"/>
      <c r="B31" s="86"/>
      <c r="C31" s="240"/>
      <c r="D31" s="9" t="s">
        <v>77</v>
      </c>
      <c r="E31" s="15" t="s">
        <v>71</v>
      </c>
      <c r="F31" s="147"/>
      <c r="G31" s="143" t="s">
        <v>367</v>
      </c>
      <c r="H31" s="147"/>
      <c r="I31" s="147"/>
      <c r="J31" s="172">
        <f>50*2*100*12</f>
        <v>120000</v>
      </c>
      <c r="K31" s="60"/>
      <c r="L31" s="143" t="s">
        <v>367</v>
      </c>
      <c r="M31" s="60"/>
      <c r="N31" s="60"/>
      <c r="O31" s="172">
        <f>100*2*100*12</f>
        <v>240000</v>
      </c>
      <c r="P31" s="60"/>
      <c r="Q31" s="143" t="s">
        <v>367</v>
      </c>
      <c r="R31" s="60"/>
      <c r="S31" s="60"/>
      <c r="T31" s="175">
        <f>150*2*100*12</f>
        <v>360000</v>
      </c>
      <c r="U31" s="60"/>
      <c r="V31" s="143" t="s">
        <v>367</v>
      </c>
      <c r="W31" s="60"/>
      <c r="X31" s="60"/>
      <c r="Y31" s="175">
        <f>200*2*100*12</f>
        <v>480000</v>
      </c>
      <c r="Z31" s="60"/>
      <c r="AA31" s="143" t="s">
        <v>367</v>
      </c>
      <c r="AB31" s="60"/>
      <c r="AC31" s="60"/>
      <c r="AD31" s="175">
        <f>250*2*100*12</f>
        <v>600000</v>
      </c>
      <c r="AE31" s="34"/>
    </row>
    <row r="32" spans="1:31" ht="29.25" thickBot="1" x14ac:dyDescent="0.3">
      <c r="A32" s="253"/>
      <c r="B32" s="86"/>
      <c r="C32" s="241" t="s">
        <v>35</v>
      </c>
      <c r="D32" s="6" t="s">
        <v>78</v>
      </c>
      <c r="E32" s="15" t="s">
        <v>72</v>
      </c>
      <c r="F32" s="143"/>
      <c r="G32" s="147"/>
      <c r="H32" s="143" t="s">
        <v>367</v>
      </c>
      <c r="I32" s="147"/>
      <c r="J32" s="172">
        <f>J31*20/100</f>
        <v>24000</v>
      </c>
      <c r="K32" s="60"/>
      <c r="L32" s="60"/>
      <c r="M32" s="143" t="s">
        <v>367</v>
      </c>
      <c r="N32" s="60"/>
      <c r="O32" s="172">
        <f>O31*20/100</f>
        <v>48000</v>
      </c>
      <c r="P32" s="60"/>
      <c r="Q32" s="60"/>
      <c r="R32" s="143" t="s">
        <v>367</v>
      </c>
      <c r="S32" s="60"/>
      <c r="T32" s="175">
        <f>T31*20/100</f>
        <v>72000</v>
      </c>
      <c r="U32" s="60"/>
      <c r="V32" s="60"/>
      <c r="W32" s="143" t="s">
        <v>367</v>
      </c>
      <c r="X32" s="60"/>
      <c r="Y32" s="175">
        <f>Y31*20/100</f>
        <v>96000</v>
      </c>
      <c r="Z32" s="60"/>
      <c r="AA32" s="60"/>
      <c r="AB32" s="143" t="s">
        <v>367</v>
      </c>
      <c r="AC32" s="60"/>
      <c r="AD32" s="175">
        <f>AD31*20/100</f>
        <v>120000</v>
      </c>
      <c r="AE32" s="34"/>
    </row>
    <row r="33" spans="1:33" ht="43.5" thickBot="1" x14ac:dyDescent="0.3">
      <c r="A33" s="254"/>
      <c r="B33" s="89"/>
      <c r="C33" s="240"/>
      <c r="D33" s="8" t="s">
        <v>79</v>
      </c>
      <c r="E33" s="72" t="s">
        <v>73</v>
      </c>
      <c r="F33" s="143" t="s">
        <v>367</v>
      </c>
      <c r="G33" s="147"/>
      <c r="H33" s="143" t="s">
        <v>367</v>
      </c>
      <c r="I33" s="143" t="s">
        <v>367</v>
      </c>
      <c r="J33" s="172">
        <v>0</v>
      </c>
      <c r="K33" s="143" t="s">
        <v>367</v>
      </c>
      <c r="L33" s="147"/>
      <c r="M33" s="143" t="s">
        <v>367</v>
      </c>
      <c r="N33" s="143" t="s">
        <v>367</v>
      </c>
      <c r="O33" s="172">
        <v>75000</v>
      </c>
      <c r="P33" s="143" t="s">
        <v>367</v>
      </c>
      <c r="Q33" s="147"/>
      <c r="R33" s="143" t="s">
        <v>367</v>
      </c>
      <c r="S33" s="143" t="s">
        <v>367</v>
      </c>
      <c r="T33" s="175">
        <v>63000</v>
      </c>
      <c r="U33" s="143" t="s">
        <v>367</v>
      </c>
      <c r="V33" s="147"/>
      <c r="W33" s="143" t="s">
        <v>367</v>
      </c>
      <c r="X33" s="143" t="s">
        <v>367</v>
      </c>
      <c r="Y33" s="175">
        <v>63000</v>
      </c>
      <c r="Z33" s="143" t="s">
        <v>367</v>
      </c>
      <c r="AA33" s="147"/>
      <c r="AB33" s="143" t="s">
        <v>367</v>
      </c>
      <c r="AC33" s="143" t="s">
        <v>367</v>
      </c>
      <c r="AD33" s="175">
        <v>63000</v>
      </c>
      <c r="AE33" s="34"/>
    </row>
    <row r="34" spans="1:33" ht="43.5" thickBot="1" x14ac:dyDescent="0.3">
      <c r="A34" s="37"/>
      <c r="B34" s="85"/>
      <c r="C34" s="33"/>
      <c r="D34" s="155" t="s">
        <v>80</v>
      </c>
      <c r="E34" s="141" t="s">
        <v>74</v>
      </c>
      <c r="F34" s="146"/>
      <c r="G34" s="146"/>
      <c r="H34" s="146"/>
      <c r="I34" s="146"/>
      <c r="J34" s="170">
        <v>10015296.720000001</v>
      </c>
      <c r="K34" s="141"/>
      <c r="L34" s="141"/>
      <c r="M34" s="141"/>
      <c r="N34" s="141"/>
      <c r="O34" s="173">
        <v>12064899.139397468</v>
      </c>
      <c r="P34" s="141"/>
      <c r="Q34" s="141"/>
      <c r="R34" s="141"/>
      <c r="S34" s="141"/>
      <c r="T34" s="176">
        <v>14114501.558794936</v>
      </c>
      <c r="U34" s="141"/>
      <c r="V34" s="141"/>
      <c r="W34" s="141"/>
      <c r="X34" s="141"/>
      <c r="Y34" s="176">
        <v>16164103.978192404</v>
      </c>
      <c r="Z34" s="141"/>
      <c r="AA34" s="60"/>
      <c r="AB34" s="60"/>
      <c r="AC34" s="60"/>
      <c r="AD34" s="176">
        <v>18213706.397589874</v>
      </c>
      <c r="AE34" s="34"/>
    </row>
    <row r="35" spans="1:33" ht="19.5" thickBot="1" x14ac:dyDescent="0.3">
      <c r="A35" s="37"/>
      <c r="B35" s="85"/>
      <c r="C35" s="35"/>
      <c r="D35" s="38"/>
      <c r="E35" s="60"/>
      <c r="F35" s="147"/>
      <c r="G35" s="147"/>
      <c r="H35" s="147"/>
      <c r="I35" s="147"/>
      <c r="J35" s="194">
        <f t="shared" ref="J35:Y35" si="0">SUM(J15:J34)</f>
        <v>16843319.719999999</v>
      </c>
      <c r="K35" s="60"/>
      <c r="L35" s="60"/>
      <c r="M35" s="60"/>
      <c r="N35" s="60"/>
      <c r="O35" s="194">
        <f t="shared" si="0"/>
        <v>23586270.339397468</v>
      </c>
      <c r="P35" s="60"/>
      <c r="Q35" s="60"/>
      <c r="R35" s="60"/>
      <c r="S35" s="60"/>
      <c r="T35" s="194">
        <f t="shared" si="0"/>
        <v>25984792.038794935</v>
      </c>
      <c r="U35" s="60"/>
      <c r="V35" s="60"/>
      <c r="W35" s="60"/>
      <c r="X35" s="60"/>
      <c r="Y35" s="194">
        <f t="shared" si="0"/>
        <v>25493237.170192406</v>
      </c>
      <c r="Z35" s="60"/>
      <c r="AA35" s="60"/>
      <c r="AB35" s="60"/>
      <c r="AC35" s="60"/>
      <c r="AD35" s="197">
        <f>SUM(AD15:AD34)</f>
        <v>30575826.674389873</v>
      </c>
      <c r="AE35" s="76">
        <f>SUM(J35:AD35)</f>
        <v>122483445.94277468</v>
      </c>
    </row>
    <row r="36" spans="1:33" ht="34.15" customHeight="1" x14ac:dyDescent="0.4">
      <c r="A36" s="302" t="s">
        <v>373</v>
      </c>
      <c r="B36" s="303"/>
      <c r="C36" s="303"/>
      <c r="D36" s="303"/>
      <c r="E36" s="303"/>
      <c r="F36" s="303"/>
      <c r="G36" s="303"/>
      <c r="H36" s="303"/>
      <c r="I36" s="303"/>
      <c r="J36" s="303"/>
      <c r="K36" s="303"/>
      <c r="L36" s="303"/>
      <c r="M36" s="303"/>
      <c r="N36" s="303"/>
      <c r="O36" s="303"/>
      <c r="P36" s="303"/>
      <c r="Q36" s="303"/>
      <c r="R36" s="303"/>
      <c r="S36" s="303"/>
      <c r="T36" s="303"/>
      <c r="U36" s="303"/>
      <c r="V36" s="303"/>
      <c r="W36" s="303"/>
      <c r="X36" s="303"/>
      <c r="Y36" s="303"/>
      <c r="Z36" s="303"/>
      <c r="AA36" s="303"/>
      <c r="AB36" s="303"/>
      <c r="AC36" s="303"/>
      <c r="AD36" s="303"/>
      <c r="AE36" s="304"/>
    </row>
    <row r="37" spans="1:33" ht="31.5" customHeight="1" thickBot="1" x14ac:dyDescent="0.3">
      <c r="A37" s="23" t="s">
        <v>16</v>
      </c>
      <c r="B37" s="24" t="s">
        <v>17</v>
      </c>
      <c r="C37" s="24" t="s">
        <v>1</v>
      </c>
      <c r="D37" s="24" t="s">
        <v>2</v>
      </c>
      <c r="E37" s="24" t="s">
        <v>3</v>
      </c>
      <c r="F37" s="142"/>
      <c r="G37" s="142"/>
      <c r="H37" s="142"/>
      <c r="I37" s="142"/>
      <c r="J37" s="25">
        <v>2017</v>
      </c>
      <c r="K37" s="48"/>
      <c r="L37" s="48"/>
      <c r="M37" s="48"/>
      <c r="N37" s="48"/>
      <c r="O37" s="26">
        <v>2018</v>
      </c>
      <c r="P37" s="48"/>
      <c r="Q37" s="48"/>
      <c r="R37" s="48"/>
      <c r="S37" s="48"/>
      <c r="T37" s="26">
        <v>2019</v>
      </c>
      <c r="U37" s="48"/>
      <c r="V37" s="48"/>
      <c r="W37" s="48"/>
      <c r="X37" s="48"/>
      <c r="Y37" s="26">
        <v>2020</v>
      </c>
      <c r="Z37" s="48"/>
      <c r="AA37" s="48"/>
      <c r="AB37" s="48"/>
      <c r="AC37" s="48"/>
      <c r="AD37" s="26">
        <v>2021</v>
      </c>
      <c r="AE37" s="5" t="s">
        <v>22</v>
      </c>
    </row>
    <row r="38" spans="1:33" ht="57.75" thickBot="1" x14ac:dyDescent="0.3">
      <c r="A38" s="235" t="s">
        <v>82</v>
      </c>
      <c r="B38" s="125"/>
      <c r="C38" s="238" t="s">
        <v>83</v>
      </c>
      <c r="D38" s="6" t="s">
        <v>154</v>
      </c>
      <c r="E38" s="151" t="s">
        <v>149</v>
      </c>
      <c r="F38" s="143" t="s">
        <v>367</v>
      </c>
      <c r="G38" s="152"/>
      <c r="H38" s="143" t="s">
        <v>367</v>
      </c>
      <c r="I38" s="152"/>
      <c r="J38" s="169">
        <v>0</v>
      </c>
      <c r="K38" s="143" t="s">
        <v>367</v>
      </c>
      <c r="L38" s="152"/>
      <c r="M38" s="143" t="s">
        <v>367</v>
      </c>
      <c r="N38" s="153"/>
      <c r="O38" s="161">
        <v>140000</v>
      </c>
      <c r="P38" s="143" t="s">
        <v>367</v>
      </c>
      <c r="Q38" s="152"/>
      <c r="R38" s="143" t="s">
        <v>367</v>
      </c>
      <c r="S38" s="153"/>
      <c r="T38" s="162">
        <v>120000</v>
      </c>
      <c r="U38" s="143" t="s">
        <v>367</v>
      </c>
      <c r="V38" s="152"/>
      <c r="W38" s="143" t="s">
        <v>367</v>
      </c>
      <c r="X38" s="153"/>
      <c r="Y38" s="162">
        <v>0</v>
      </c>
      <c r="Z38" s="143" t="s">
        <v>367</v>
      </c>
      <c r="AA38" s="152"/>
      <c r="AB38" s="143" t="s">
        <v>367</v>
      </c>
      <c r="AC38" s="153"/>
      <c r="AD38" s="162">
        <v>0</v>
      </c>
      <c r="AE38" s="59"/>
    </row>
    <row r="39" spans="1:33" ht="72" thickBot="1" x14ac:dyDescent="0.3">
      <c r="A39" s="236"/>
      <c r="B39" s="125"/>
      <c r="C39" s="239"/>
      <c r="D39" s="6" t="s">
        <v>155</v>
      </c>
      <c r="E39" s="151" t="s">
        <v>150</v>
      </c>
      <c r="F39" s="152"/>
      <c r="G39" s="152"/>
      <c r="H39" s="152"/>
      <c r="I39" s="152"/>
      <c r="J39" s="169">
        <v>0</v>
      </c>
      <c r="K39" s="143" t="s">
        <v>367</v>
      </c>
      <c r="L39" s="143" t="s">
        <v>367</v>
      </c>
      <c r="M39" s="153"/>
      <c r="N39" s="153"/>
      <c r="O39" s="161">
        <f>10*100000</f>
        <v>1000000</v>
      </c>
      <c r="P39" s="143" t="s">
        <v>367</v>
      </c>
      <c r="Q39" s="143" t="s">
        <v>367</v>
      </c>
      <c r="R39" s="153"/>
      <c r="S39" s="153"/>
      <c r="T39" s="162">
        <f>5*100000</f>
        <v>500000</v>
      </c>
      <c r="U39" s="143" t="s">
        <v>367</v>
      </c>
      <c r="V39" s="143" t="s">
        <v>367</v>
      </c>
      <c r="W39" s="153"/>
      <c r="X39" s="153"/>
      <c r="Y39" s="162">
        <f>5*100000</f>
        <v>500000</v>
      </c>
      <c r="Z39" s="143" t="s">
        <v>367</v>
      </c>
      <c r="AA39" s="143" t="s">
        <v>367</v>
      </c>
      <c r="AB39" s="153"/>
      <c r="AC39" s="153"/>
      <c r="AD39" s="162">
        <f>10*100000</f>
        <v>1000000</v>
      </c>
      <c r="AE39" s="59"/>
    </row>
    <row r="40" spans="1:33" ht="57.75" thickBot="1" x14ac:dyDescent="0.3">
      <c r="A40" s="236"/>
      <c r="B40" s="65">
        <v>3.1</v>
      </c>
      <c r="C40" s="239"/>
      <c r="D40" s="9" t="s">
        <v>156</v>
      </c>
      <c r="E40" s="151" t="s">
        <v>151</v>
      </c>
      <c r="F40" s="152"/>
      <c r="G40" s="152"/>
      <c r="H40" s="152"/>
      <c r="I40" s="152"/>
      <c r="J40" s="169">
        <v>0</v>
      </c>
      <c r="K40" s="143" t="s">
        <v>367</v>
      </c>
      <c r="L40" s="143" t="s">
        <v>367</v>
      </c>
      <c r="M40" s="153"/>
      <c r="N40" s="153"/>
      <c r="O40" s="161">
        <f>200*3000</f>
        <v>600000</v>
      </c>
      <c r="P40" s="143" t="s">
        <v>367</v>
      </c>
      <c r="Q40" s="143" t="s">
        <v>367</v>
      </c>
      <c r="R40" s="153"/>
      <c r="S40" s="153"/>
      <c r="T40" s="162">
        <f>150*3000</f>
        <v>450000</v>
      </c>
      <c r="U40" s="143" t="s">
        <v>367</v>
      </c>
      <c r="V40" s="143" t="s">
        <v>367</v>
      </c>
      <c r="W40" s="153"/>
      <c r="X40" s="153"/>
      <c r="Y40" s="162">
        <f>75*3000</f>
        <v>225000</v>
      </c>
      <c r="Z40" s="143" t="s">
        <v>367</v>
      </c>
      <c r="AA40" s="143" t="s">
        <v>367</v>
      </c>
      <c r="AB40" s="153"/>
      <c r="AC40" s="153"/>
      <c r="AD40" s="162">
        <f>75*3000</f>
        <v>225000</v>
      </c>
      <c r="AE40" s="59"/>
    </row>
    <row r="41" spans="1:33" ht="43.5" thickBot="1" x14ac:dyDescent="0.3">
      <c r="A41" s="236"/>
      <c r="B41" s="80"/>
      <c r="C41" s="239"/>
      <c r="D41" s="6" t="s">
        <v>159</v>
      </c>
      <c r="E41" s="151" t="s">
        <v>152</v>
      </c>
      <c r="F41" s="152"/>
      <c r="G41" s="152"/>
      <c r="H41" s="152"/>
      <c r="I41" s="152"/>
      <c r="J41" s="169">
        <v>0</v>
      </c>
      <c r="K41" s="153"/>
      <c r="L41" s="153"/>
      <c r="M41" s="153"/>
      <c r="N41" s="153"/>
      <c r="O41" s="161">
        <f>4*15000</f>
        <v>60000</v>
      </c>
      <c r="P41" s="153"/>
      <c r="Q41" s="153"/>
      <c r="R41" s="153"/>
      <c r="S41" s="153"/>
      <c r="T41" s="162">
        <f>3*15000</f>
        <v>45000</v>
      </c>
      <c r="U41" s="153"/>
      <c r="V41" s="153"/>
      <c r="W41" s="153"/>
      <c r="X41" s="153"/>
      <c r="Y41" s="162">
        <f>2*15000</f>
        <v>30000</v>
      </c>
      <c r="Z41" s="153"/>
      <c r="AA41" s="153"/>
      <c r="AB41" s="153"/>
      <c r="AC41" s="153"/>
      <c r="AD41" s="162">
        <f>1*15000</f>
        <v>15000</v>
      </c>
      <c r="AE41" s="59"/>
    </row>
    <row r="42" spans="1:33" ht="57.75" thickBot="1" x14ac:dyDescent="0.3">
      <c r="A42" s="236"/>
      <c r="B42" s="80"/>
      <c r="C42" s="240"/>
      <c r="D42" s="6" t="s">
        <v>160</v>
      </c>
      <c r="E42" s="151" t="s">
        <v>153</v>
      </c>
      <c r="F42" s="152"/>
      <c r="G42" s="152"/>
      <c r="H42" s="152"/>
      <c r="I42" s="152"/>
      <c r="J42" s="170">
        <v>0</v>
      </c>
      <c r="K42" s="143" t="s">
        <v>367</v>
      </c>
      <c r="L42" s="143" t="s">
        <v>367</v>
      </c>
      <c r="M42" s="143" t="s">
        <v>367</v>
      </c>
      <c r="N42" s="143" t="s">
        <v>367</v>
      </c>
      <c r="O42" s="164">
        <v>44000</v>
      </c>
      <c r="P42" s="143" t="s">
        <v>367</v>
      </c>
      <c r="Q42" s="143" t="s">
        <v>367</v>
      </c>
      <c r="R42" s="143" t="s">
        <v>367</v>
      </c>
      <c r="S42" s="143" t="s">
        <v>367</v>
      </c>
      <c r="T42" s="167">
        <v>88000</v>
      </c>
      <c r="U42" s="143" t="s">
        <v>367</v>
      </c>
      <c r="V42" s="143" t="s">
        <v>367</v>
      </c>
      <c r="W42" s="143" t="s">
        <v>367</v>
      </c>
      <c r="X42" s="143" t="s">
        <v>367</v>
      </c>
      <c r="Y42" s="167">
        <v>176000</v>
      </c>
      <c r="Z42" s="143" t="s">
        <v>367</v>
      </c>
      <c r="AA42" s="143" t="s">
        <v>367</v>
      </c>
      <c r="AB42" s="143" t="s">
        <v>367</v>
      </c>
      <c r="AC42" s="143" t="s">
        <v>367</v>
      </c>
      <c r="AD42" s="167">
        <v>220000</v>
      </c>
      <c r="AE42" s="59"/>
    </row>
    <row r="43" spans="1:33" ht="90.75" thickBot="1" x14ac:dyDescent="0.3">
      <c r="A43" s="237"/>
      <c r="B43" s="82"/>
      <c r="C43" s="127" t="s">
        <v>84</v>
      </c>
      <c r="D43" s="6" t="s">
        <v>161</v>
      </c>
      <c r="E43" s="15" t="s">
        <v>158</v>
      </c>
      <c r="F43" s="147"/>
      <c r="G43" s="147"/>
      <c r="H43" s="143" t="s">
        <v>367</v>
      </c>
      <c r="I43" s="143" t="s">
        <v>367</v>
      </c>
      <c r="J43" s="169">
        <v>120000</v>
      </c>
      <c r="K43" s="143" t="s">
        <v>367</v>
      </c>
      <c r="L43" s="143" t="s">
        <v>367</v>
      </c>
      <c r="M43" s="143" t="s">
        <v>367</v>
      </c>
      <c r="N43" s="143" t="s">
        <v>367</v>
      </c>
      <c r="O43" s="161">
        <v>120000</v>
      </c>
      <c r="P43" s="143" t="s">
        <v>367</v>
      </c>
      <c r="Q43" s="143" t="s">
        <v>367</v>
      </c>
      <c r="R43" s="143" t="s">
        <v>367</v>
      </c>
      <c r="S43" s="143" t="s">
        <v>367</v>
      </c>
      <c r="T43" s="162">
        <v>120000</v>
      </c>
      <c r="U43" s="143" t="s">
        <v>367</v>
      </c>
      <c r="V43" s="143" t="s">
        <v>367</v>
      </c>
      <c r="W43" s="143" t="s">
        <v>367</v>
      </c>
      <c r="X43" s="143" t="s">
        <v>367</v>
      </c>
      <c r="Y43" s="162">
        <v>120000</v>
      </c>
      <c r="Z43" s="143" t="s">
        <v>367</v>
      </c>
      <c r="AA43" s="143" t="s">
        <v>367</v>
      </c>
      <c r="AB43" s="143" t="s">
        <v>367</v>
      </c>
      <c r="AC43" s="143" t="s">
        <v>367</v>
      </c>
      <c r="AD43" s="162">
        <v>120000</v>
      </c>
      <c r="AE43" s="59"/>
    </row>
    <row r="44" spans="1:33" ht="43.5" thickBot="1" x14ac:dyDescent="0.3">
      <c r="A44" s="235" t="s">
        <v>85</v>
      </c>
      <c r="B44" s="125"/>
      <c r="C44" s="238" t="s">
        <v>86</v>
      </c>
      <c r="D44" s="6" t="s">
        <v>162</v>
      </c>
      <c r="E44" s="15" t="s">
        <v>163</v>
      </c>
      <c r="F44" s="147"/>
      <c r="G44" s="147"/>
      <c r="H44" s="143" t="s">
        <v>367</v>
      </c>
      <c r="I44" s="147"/>
      <c r="J44" s="169">
        <v>0</v>
      </c>
      <c r="K44" s="60"/>
      <c r="L44" s="143" t="s">
        <v>367</v>
      </c>
      <c r="M44" s="143" t="s">
        <v>367</v>
      </c>
      <c r="N44" s="60"/>
      <c r="O44" s="161">
        <v>135000</v>
      </c>
      <c r="P44" s="60"/>
      <c r="Q44" s="143" t="s">
        <v>367</v>
      </c>
      <c r="R44" s="143" t="s">
        <v>367</v>
      </c>
      <c r="S44" s="60"/>
      <c r="T44" s="162">
        <v>135000</v>
      </c>
      <c r="U44" s="60"/>
      <c r="V44" s="143" t="s">
        <v>367</v>
      </c>
      <c r="W44" s="143" t="s">
        <v>367</v>
      </c>
      <c r="X44" s="60"/>
      <c r="Y44" s="162">
        <v>90000</v>
      </c>
      <c r="Z44" s="60"/>
      <c r="AA44" s="143" t="s">
        <v>367</v>
      </c>
      <c r="AB44" s="143" t="s">
        <v>367</v>
      </c>
      <c r="AC44" s="60"/>
      <c r="AD44" s="162">
        <v>90000</v>
      </c>
      <c r="AE44" s="59"/>
    </row>
    <row r="45" spans="1:33" ht="43.5" thickBot="1" x14ac:dyDescent="0.3">
      <c r="A45" s="236"/>
      <c r="B45" s="125"/>
      <c r="C45" s="239"/>
      <c r="D45" s="6" t="s">
        <v>164</v>
      </c>
      <c r="E45" s="15" t="s">
        <v>165</v>
      </c>
      <c r="F45" s="143" t="s">
        <v>367</v>
      </c>
      <c r="G45" s="143" t="s">
        <v>367</v>
      </c>
      <c r="H45" s="143" t="s">
        <v>367</v>
      </c>
      <c r="I45" s="143" t="s">
        <v>367</v>
      </c>
      <c r="J45" s="169">
        <v>180000</v>
      </c>
      <c r="K45" s="143" t="s">
        <v>367</v>
      </c>
      <c r="L45" s="143" t="s">
        <v>367</v>
      </c>
      <c r="M45" s="143" t="s">
        <v>367</v>
      </c>
      <c r="N45" s="143" t="s">
        <v>367</v>
      </c>
      <c r="O45" s="161">
        <v>180000</v>
      </c>
      <c r="P45" s="143" t="s">
        <v>367</v>
      </c>
      <c r="Q45" s="143" t="s">
        <v>367</v>
      </c>
      <c r="R45" s="143" t="s">
        <v>367</v>
      </c>
      <c r="S45" s="143" t="s">
        <v>367</v>
      </c>
      <c r="T45" s="162">
        <v>180000</v>
      </c>
      <c r="U45" s="143" t="s">
        <v>367</v>
      </c>
      <c r="V45" s="143" t="s">
        <v>367</v>
      </c>
      <c r="W45" s="143" t="s">
        <v>367</v>
      </c>
      <c r="X45" s="143" t="s">
        <v>367</v>
      </c>
      <c r="Y45" s="162">
        <v>180000</v>
      </c>
      <c r="Z45" s="143" t="s">
        <v>367</v>
      </c>
      <c r="AA45" s="143" t="s">
        <v>367</v>
      </c>
      <c r="AB45" s="143" t="s">
        <v>367</v>
      </c>
      <c r="AC45" s="143" t="s">
        <v>367</v>
      </c>
      <c r="AD45" s="162">
        <v>180000</v>
      </c>
      <c r="AE45" s="59"/>
    </row>
    <row r="46" spans="1:33" ht="57.75" thickBot="1" x14ac:dyDescent="0.3">
      <c r="A46" s="236"/>
      <c r="B46" s="81">
        <v>3.2</v>
      </c>
      <c r="C46" s="240"/>
      <c r="D46" s="6" t="s">
        <v>166</v>
      </c>
      <c r="E46" s="151" t="s">
        <v>170</v>
      </c>
      <c r="F46" s="143" t="s">
        <v>367</v>
      </c>
      <c r="G46" s="152"/>
      <c r="H46" s="152"/>
      <c r="I46" s="152"/>
      <c r="J46" s="169">
        <v>156000</v>
      </c>
      <c r="K46" s="143" t="s">
        <v>367</v>
      </c>
      <c r="L46" s="153"/>
      <c r="M46" s="153"/>
      <c r="N46" s="153"/>
      <c r="O46" s="161">
        <v>312000</v>
      </c>
      <c r="P46" s="143" t="s">
        <v>367</v>
      </c>
      <c r="Q46" s="153"/>
      <c r="R46" s="153"/>
      <c r="S46" s="153"/>
      <c r="T46" s="162">
        <v>468000</v>
      </c>
      <c r="U46" s="143" t="s">
        <v>367</v>
      </c>
      <c r="V46" s="153"/>
      <c r="W46" s="153"/>
      <c r="X46" s="153"/>
      <c r="Y46" s="162">
        <v>624000</v>
      </c>
      <c r="Z46" s="143" t="s">
        <v>367</v>
      </c>
      <c r="AA46" s="153"/>
      <c r="AB46" s="153"/>
      <c r="AC46" s="153"/>
      <c r="AD46" s="162">
        <v>780000</v>
      </c>
      <c r="AE46" s="59"/>
      <c r="AG46" s="91"/>
    </row>
    <row r="47" spans="1:33" ht="86.25" thickBot="1" x14ac:dyDescent="0.3">
      <c r="A47" s="236"/>
      <c r="B47" s="80"/>
      <c r="C47" s="241" t="s">
        <v>87</v>
      </c>
      <c r="D47" s="6" t="s">
        <v>167</v>
      </c>
      <c r="E47" s="15" t="s">
        <v>88</v>
      </c>
      <c r="F47" s="147"/>
      <c r="G47" s="147"/>
      <c r="H47" s="147"/>
      <c r="I47" s="147"/>
      <c r="J47" s="170">
        <v>0</v>
      </c>
      <c r="K47" s="60"/>
      <c r="L47" s="60"/>
      <c r="M47" s="60"/>
      <c r="N47" s="60"/>
      <c r="O47" s="164">
        <v>0</v>
      </c>
      <c r="P47" s="60"/>
      <c r="Q47" s="60"/>
      <c r="R47" s="143" t="s">
        <v>367</v>
      </c>
      <c r="S47" s="143" t="s">
        <v>367</v>
      </c>
      <c r="T47" s="167">
        <v>105000</v>
      </c>
      <c r="U47" s="60"/>
      <c r="V47" s="60"/>
      <c r="W47" s="60"/>
      <c r="X47" s="60"/>
      <c r="Y47" s="167">
        <v>0</v>
      </c>
      <c r="Z47" s="60"/>
      <c r="AA47" s="60"/>
      <c r="AB47" s="60"/>
      <c r="AC47" s="60"/>
      <c r="AD47" s="167">
        <v>0</v>
      </c>
      <c r="AE47" s="59"/>
    </row>
    <row r="48" spans="1:33" ht="72" thickBot="1" x14ac:dyDescent="0.3">
      <c r="A48" s="237"/>
      <c r="B48" s="82"/>
      <c r="C48" s="240"/>
      <c r="D48" s="6" t="s">
        <v>169</v>
      </c>
      <c r="E48" s="15" t="s">
        <v>168</v>
      </c>
      <c r="F48" s="147"/>
      <c r="G48" s="147"/>
      <c r="H48" s="143" t="s">
        <v>367</v>
      </c>
      <c r="I48" s="143" t="s">
        <v>367</v>
      </c>
      <c r="J48" s="170">
        <v>164490</v>
      </c>
      <c r="K48" s="60"/>
      <c r="L48" s="143" t="s">
        <v>367</v>
      </c>
      <c r="M48" s="143" t="s">
        <v>367</v>
      </c>
      <c r="N48" s="60"/>
      <c r="O48" s="164">
        <v>1151430</v>
      </c>
      <c r="P48" s="60"/>
      <c r="Q48" s="143" t="s">
        <v>367</v>
      </c>
      <c r="R48" s="143" t="s">
        <v>367</v>
      </c>
      <c r="S48" s="60"/>
      <c r="T48" s="167">
        <v>657960</v>
      </c>
      <c r="U48" s="60"/>
      <c r="V48" s="143" t="s">
        <v>367</v>
      </c>
      <c r="W48" s="143" t="s">
        <v>367</v>
      </c>
      <c r="X48" s="60"/>
      <c r="Y48" s="167">
        <v>657960</v>
      </c>
      <c r="Z48" s="60"/>
      <c r="AA48" s="143" t="s">
        <v>367</v>
      </c>
      <c r="AB48" s="143" t="s">
        <v>367</v>
      </c>
      <c r="AC48" s="60"/>
      <c r="AD48" s="167">
        <v>657960</v>
      </c>
      <c r="AE48" s="59"/>
    </row>
    <row r="49" spans="1:31" ht="57.75" thickBot="1" x14ac:dyDescent="0.3">
      <c r="A49" s="235" t="s">
        <v>89</v>
      </c>
      <c r="B49" s="121"/>
      <c r="C49" s="235" t="s">
        <v>90</v>
      </c>
      <c r="D49" s="6" t="s">
        <v>172</v>
      </c>
      <c r="E49" s="156" t="s">
        <v>173</v>
      </c>
      <c r="F49" s="143" t="s">
        <v>367</v>
      </c>
      <c r="G49" s="143" t="s">
        <v>367</v>
      </c>
      <c r="H49" s="143" t="s">
        <v>367</v>
      </c>
      <c r="I49" s="143" t="s">
        <v>367</v>
      </c>
      <c r="J49" s="169">
        <v>20000</v>
      </c>
      <c r="K49" s="143" t="s">
        <v>367</v>
      </c>
      <c r="L49" s="143" t="s">
        <v>367</v>
      </c>
      <c r="M49" s="143" t="s">
        <v>367</v>
      </c>
      <c r="N49" s="143" t="s">
        <v>367</v>
      </c>
      <c r="O49" s="161">
        <v>20000</v>
      </c>
      <c r="P49" s="143" t="s">
        <v>367</v>
      </c>
      <c r="Q49" s="143" t="s">
        <v>367</v>
      </c>
      <c r="R49" s="143" t="s">
        <v>367</v>
      </c>
      <c r="S49" s="143" t="s">
        <v>367</v>
      </c>
      <c r="T49" s="162">
        <v>20000</v>
      </c>
      <c r="U49" s="143" t="s">
        <v>367</v>
      </c>
      <c r="V49" s="143" t="s">
        <v>367</v>
      </c>
      <c r="W49" s="143" t="s">
        <v>367</v>
      </c>
      <c r="X49" s="143" t="s">
        <v>367</v>
      </c>
      <c r="Y49" s="162">
        <v>20000</v>
      </c>
      <c r="Z49" s="143" t="s">
        <v>367</v>
      </c>
      <c r="AA49" s="143" t="s">
        <v>367</v>
      </c>
      <c r="AB49" s="143" t="s">
        <v>367</v>
      </c>
      <c r="AC49" s="143" t="s">
        <v>367</v>
      </c>
      <c r="AD49" s="162">
        <v>20000</v>
      </c>
      <c r="AE49" s="59"/>
    </row>
    <row r="50" spans="1:31" ht="57.75" thickBot="1" x14ac:dyDescent="0.3">
      <c r="A50" s="236"/>
      <c r="B50" s="121"/>
      <c r="C50" s="236"/>
      <c r="D50" s="6" t="s">
        <v>199</v>
      </c>
      <c r="E50" s="156" t="s">
        <v>174</v>
      </c>
      <c r="F50" s="143" t="s">
        <v>367</v>
      </c>
      <c r="G50" s="143" t="s">
        <v>367</v>
      </c>
      <c r="H50" s="143" t="s">
        <v>367</v>
      </c>
      <c r="I50" s="143" t="s">
        <v>367</v>
      </c>
      <c r="J50" s="169">
        <v>40000</v>
      </c>
      <c r="K50" s="143" t="s">
        <v>367</v>
      </c>
      <c r="L50" s="143" t="s">
        <v>367</v>
      </c>
      <c r="M50" s="143" t="s">
        <v>367</v>
      </c>
      <c r="N50" s="143" t="s">
        <v>367</v>
      </c>
      <c r="O50" s="161">
        <v>40000</v>
      </c>
      <c r="P50" s="143" t="s">
        <v>367</v>
      </c>
      <c r="Q50" s="143" t="s">
        <v>367</v>
      </c>
      <c r="R50" s="143" t="s">
        <v>367</v>
      </c>
      <c r="S50" s="143" t="s">
        <v>367</v>
      </c>
      <c r="T50" s="162">
        <v>40000</v>
      </c>
      <c r="U50" s="143" t="s">
        <v>367</v>
      </c>
      <c r="V50" s="143" t="s">
        <v>367</v>
      </c>
      <c r="W50" s="143" t="s">
        <v>367</v>
      </c>
      <c r="X50" s="143" t="s">
        <v>367</v>
      </c>
      <c r="Y50" s="162">
        <v>40000</v>
      </c>
      <c r="Z50" s="143" t="s">
        <v>367</v>
      </c>
      <c r="AA50" s="143" t="s">
        <v>367</v>
      </c>
      <c r="AB50" s="143" t="s">
        <v>367</v>
      </c>
      <c r="AC50" s="143" t="s">
        <v>367</v>
      </c>
      <c r="AD50" s="162">
        <v>40000</v>
      </c>
      <c r="AE50" s="59"/>
    </row>
    <row r="51" spans="1:31" ht="43.5" thickBot="1" x14ac:dyDescent="0.3">
      <c r="A51" s="236"/>
      <c r="B51" s="80">
        <v>3.3</v>
      </c>
      <c r="C51" s="236"/>
      <c r="D51" s="6" t="s">
        <v>200</v>
      </c>
      <c r="E51" s="15" t="s">
        <v>175</v>
      </c>
      <c r="F51" s="147"/>
      <c r="G51" s="143" t="s">
        <v>367</v>
      </c>
      <c r="H51" s="147"/>
      <c r="I51" s="147"/>
      <c r="J51" s="169">
        <f>50*2*100*12</f>
        <v>120000</v>
      </c>
      <c r="K51" s="60"/>
      <c r="L51" s="143" t="s">
        <v>367</v>
      </c>
      <c r="M51" s="60"/>
      <c r="N51" s="60"/>
      <c r="O51" s="161">
        <f>100*2*100*12</f>
        <v>240000</v>
      </c>
      <c r="P51" s="60"/>
      <c r="Q51" s="143" t="s">
        <v>367</v>
      </c>
      <c r="R51" s="60"/>
      <c r="S51" s="60"/>
      <c r="T51" s="162">
        <f>150*2*100*12</f>
        <v>360000</v>
      </c>
      <c r="U51" s="60"/>
      <c r="V51" s="143" t="s">
        <v>367</v>
      </c>
      <c r="W51" s="60"/>
      <c r="X51" s="60"/>
      <c r="Y51" s="162">
        <f>200*2*100*12</f>
        <v>480000</v>
      </c>
      <c r="Z51" s="60"/>
      <c r="AA51" s="143" t="s">
        <v>367</v>
      </c>
      <c r="AB51" s="60"/>
      <c r="AC51" s="60"/>
      <c r="AD51" s="162">
        <f>250*2*100*12</f>
        <v>600000</v>
      </c>
      <c r="AE51" s="59"/>
    </row>
    <row r="52" spans="1:31" ht="43.5" thickBot="1" x14ac:dyDescent="0.3">
      <c r="A52" s="236"/>
      <c r="B52" s="80"/>
      <c r="C52" s="236"/>
      <c r="D52" s="6" t="s">
        <v>201</v>
      </c>
      <c r="E52" s="15" t="s">
        <v>190</v>
      </c>
      <c r="F52" s="143" t="s">
        <v>367</v>
      </c>
      <c r="G52" s="143" t="s">
        <v>367</v>
      </c>
      <c r="H52" s="147"/>
      <c r="I52" s="143" t="s">
        <v>367</v>
      </c>
      <c r="J52" s="169">
        <v>250000</v>
      </c>
      <c r="K52" s="143" t="s">
        <v>367</v>
      </c>
      <c r="L52" s="143" t="s">
        <v>367</v>
      </c>
      <c r="M52" s="147"/>
      <c r="N52" s="143" t="s">
        <v>367</v>
      </c>
      <c r="O52" s="161">
        <v>275000</v>
      </c>
      <c r="P52" s="143" t="s">
        <v>367</v>
      </c>
      <c r="Q52" s="143" t="s">
        <v>367</v>
      </c>
      <c r="R52" s="147"/>
      <c r="S52" s="143" t="s">
        <v>367</v>
      </c>
      <c r="T52" s="162">
        <v>325000</v>
      </c>
      <c r="U52" s="143" t="s">
        <v>367</v>
      </c>
      <c r="V52" s="143" t="s">
        <v>367</v>
      </c>
      <c r="W52" s="147"/>
      <c r="X52" s="143" t="s">
        <v>367</v>
      </c>
      <c r="Y52" s="162">
        <v>325000</v>
      </c>
      <c r="Z52" s="143" t="s">
        <v>367</v>
      </c>
      <c r="AA52" s="143" t="s">
        <v>367</v>
      </c>
      <c r="AB52" s="147"/>
      <c r="AC52" s="143" t="s">
        <v>367</v>
      </c>
      <c r="AD52" s="162">
        <v>325000</v>
      </c>
      <c r="AE52" s="59"/>
    </row>
    <row r="53" spans="1:31" ht="57.75" thickBot="1" x14ac:dyDescent="0.3">
      <c r="A53" s="236"/>
      <c r="B53" s="80"/>
      <c r="C53" s="242"/>
      <c r="D53" s="6" t="s">
        <v>202</v>
      </c>
      <c r="E53" s="15" t="s">
        <v>189</v>
      </c>
      <c r="F53" s="147"/>
      <c r="G53" s="147"/>
      <c r="H53" s="147"/>
      <c r="I53" s="143" t="s">
        <v>367</v>
      </c>
      <c r="J53" s="169">
        <f>J51*20/100</f>
        <v>24000</v>
      </c>
      <c r="K53" s="60"/>
      <c r="L53" s="60"/>
      <c r="M53" s="60"/>
      <c r="N53" s="143" t="s">
        <v>367</v>
      </c>
      <c r="O53" s="161">
        <f>O51*20/100</f>
        <v>48000</v>
      </c>
      <c r="P53" s="60"/>
      <c r="Q53" s="60"/>
      <c r="R53" s="60"/>
      <c r="S53" s="143" t="s">
        <v>367</v>
      </c>
      <c r="T53" s="162">
        <f>T51*20/100</f>
        <v>72000</v>
      </c>
      <c r="U53" s="60"/>
      <c r="V53" s="60"/>
      <c r="W53" s="60"/>
      <c r="X53" s="143" t="s">
        <v>367</v>
      </c>
      <c r="Y53" s="162">
        <f>Y51*20/100</f>
        <v>96000</v>
      </c>
      <c r="Z53" s="60"/>
      <c r="AA53" s="60"/>
      <c r="AB53" s="60"/>
      <c r="AC53" s="143" t="s">
        <v>367</v>
      </c>
      <c r="AD53" s="162">
        <f>AD51*20/100</f>
        <v>120000</v>
      </c>
      <c r="AE53" s="59"/>
    </row>
    <row r="54" spans="1:31" ht="75.75" thickBot="1" x14ac:dyDescent="0.3">
      <c r="A54" s="236"/>
      <c r="B54" s="80"/>
      <c r="C54" s="139" t="s">
        <v>91</v>
      </c>
      <c r="D54" s="8" t="s">
        <v>203</v>
      </c>
      <c r="E54" s="72" t="s">
        <v>191</v>
      </c>
      <c r="F54" s="143" t="s">
        <v>367</v>
      </c>
      <c r="G54" s="143" t="s">
        <v>367</v>
      </c>
      <c r="H54" s="147"/>
      <c r="I54" s="143" t="s">
        <v>367</v>
      </c>
      <c r="J54" s="170">
        <v>2188435.392</v>
      </c>
      <c r="K54" s="143" t="s">
        <v>367</v>
      </c>
      <c r="L54" s="143" t="s">
        <v>367</v>
      </c>
      <c r="M54" s="147"/>
      <c r="N54" s="143" t="s">
        <v>367</v>
      </c>
      <c r="O54" s="164">
        <v>2636292.5648365375</v>
      </c>
      <c r="P54" s="143" t="s">
        <v>367</v>
      </c>
      <c r="Q54" s="143" t="s">
        <v>367</v>
      </c>
      <c r="R54" s="147"/>
      <c r="S54" s="143" t="s">
        <v>367</v>
      </c>
      <c r="T54" s="167">
        <v>3084149.7376730749</v>
      </c>
      <c r="U54" s="143" t="s">
        <v>367</v>
      </c>
      <c r="V54" s="143" t="s">
        <v>367</v>
      </c>
      <c r="W54" s="147"/>
      <c r="X54" s="143" t="s">
        <v>367</v>
      </c>
      <c r="Y54" s="167">
        <v>3532006.9105096124</v>
      </c>
      <c r="Z54" s="143" t="s">
        <v>367</v>
      </c>
      <c r="AA54" s="143" t="s">
        <v>367</v>
      </c>
      <c r="AB54" s="147"/>
      <c r="AC54" s="143" t="s">
        <v>367</v>
      </c>
      <c r="AD54" s="167">
        <v>3979864.0833461499</v>
      </c>
      <c r="AE54" s="59"/>
    </row>
    <row r="55" spans="1:31" ht="18.75" thickBot="1" x14ac:dyDescent="0.3">
      <c r="A55" s="35"/>
      <c r="B55" s="158"/>
      <c r="C55" s="159"/>
      <c r="D55" s="60"/>
      <c r="E55" s="60"/>
      <c r="F55" s="147"/>
      <c r="G55" s="147"/>
      <c r="H55" s="147"/>
      <c r="I55" s="147"/>
      <c r="J55" s="163">
        <f>SUM(J38:J54)</f>
        <v>3262925.392</v>
      </c>
      <c r="K55" s="60"/>
      <c r="L55" s="60"/>
      <c r="M55" s="60"/>
      <c r="N55" s="60"/>
      <c r="O55" s="163">
        <f t="shared" ref="O55:AD55" si="1">SUM(O38:O54)</f>
        <v>7001722.5648365375</v>
      </c>
      <c r="P55" s="60"/>
      <c r="Q55" s="60"/>
      <c r="R55" s="60"/>
      <c r="S55" s="60"/>
      <c r="T55" s="163">
        <f t="shared" si="1"/>
        <v>6770109.7376730749</v>
      </c>
      <c r="U55" s="60"/>
      <c r="V55" s="60"/>
      <c r="W55" s="60"/>
      <c r="X55" s="60"/>
      <c r="Y55" s="163">
        <f t="shared" si="1"/>
        <v>7095966.9105096124</v>
      </c>
      <c r="Z55" s="60"/>
      <c r="AA55" s="60"/>
      <c r="AB55" s="60"/>
      <c r="AC55" s="60"/>
      <c r="AD55" s="168">
        <f t="shared" si="1"/>
        <v>8372824.0833461499</v>
      </c>
      <c r="AE55" s="78">
        <f>SUM(J55:AD55)</f>
        <v>32503548.688365374</v>
      </c>
    </row>
    <row r="56" spans="1:31" ht="31.5" customHeight="1" x14ac:dyDescent="0.35">
      <c r="A56" s="305" t="s">
        <v>374</v>
      </c>
      <c r="B56" s="306"/>
      <c r="C56" s="306"/>
      <c r="D56" s="306"/>
      <c r="E56" s="306"/>
      <c r="F56" s="306"/>
      <c r="G56" s="306"/>
      <c r="H56" s="306"/>
      <c r="I56" s="306"/>
      <c r="J56" s="306"/>
      <c r="K56" s="306"/>
      <c r="L56" s="306"/>
      <c r="M56" s="306"/>
      <c r="N56" s="306"/>
      <c r="O56" s="306"/>
      <c r="P56" s="306"/>
      <c r="Q56" s="306"/>
      <c r="R56" s="306"/>
      <c r="S56" s="306"/>
      <c r="T56" s="306"/>
      <c r="U56" s="306"/>
      <c r="V56" s="306"/>
      <c r="W56" s="306"/>
      <c r="X56" s="306"/>
      <c r="Y56" s="306"/>
      <c r="Z56" s="306"/>
      <c r="AA56" s="306"/>
      <c r="AB56" s="306"/>
      <c r="AC56" s="306"/>
      <c r="AD56" s="306"/>
      <c r="AE56" s="307"/>
    </row>
    <row r="57" spans="1:31" ht="31.5" customHeight="1" thickBot="1" x14ac:dyDescent="0.3">
      <c r="A57" s="23" t="s">
        <v>16</v>
      </c>
      <c r="B57" s="24" t="s">
        <v>17</v>
      </c>
      <c r="C57" s="24" t="s">
        <v>1</v>
      </c>
      <c r="D57" s="24" t="s">
        <v>2</v>
      </c>
      <c r="E57" s="24" t="s">
        <v>3</v>
      </c>
      <c r="F57" s="142"/>
      <c r="G57" s="142"/>
      <c r="H57" s="142"/>
      <c r="I57" s="142"/>
      <c r="J57" s="25">
        <v>2017</v>
      </c>
      <c r="K57" s="48"/>
      <c r="L57" s="48"/>
      <c r="M57" s="48"/>
      <c r="N57" s="48"/>
      <c r="O57" s="26">
        <v>2018</v>
      </c>
      <c r="P57" s="24"/>
      <c r="Q57" s="24"/>
      <c r="R57" s="24"/>
      <c r="S57" s="24"/>
      <c r="T57" s="26">
        <v>2019</v>
      </c>
      <c r="U57" s="24"/>
      <c r="V57" s="24"/>
      <c r="W57" s="24"/>
      <c r="X57" s="24"/>
      <c r="Y57" s="26">
        <v>2020</v>
      </c>
      <c r="Z57" s="24"/>
      <c r="AA57" s="24"/>
      <c r="AB57" s="24"/>
      <c r="AC57" s="24"/>
      <c r="AD57" s="26">
        <v>2021</v>
      </c>
      <c r="AE57" s="5" t="s">
        <v>22</v>
      </c>
    </row>
    <row r="58" spans="1:31" ht="43.5" thickBot="1" x14ac:dyDescent="0.3">
      <c r="A58" s="289" t="s">
        <v>187</v>
      </c>
      <c r="B58" s="125"/>
      <c r="C58" s="238" t="s">
        <v>92</v>
      </c>
      <c r="D58" s="6" t="s">
        <v>204</v>
      </c>
      <c r="E58" s="15" t="s">
        <v>192</v>
      </c>
      <c r="F58" s="147"/>
      <c r="G58" s="147"/>
      <c r="H58" s="147"/>
      <c r="I58" s="147"/>
      <c r="J58" s="161">
        <v>0</v>
      </c>
      <c r="K58" s="147" t="s">
        <v>367</v>
      </c>
      <c r="L58" s="147" t="s">
        <v>367</v>
      </c>
      <c r="M58" s="60"/>
      <c r="N58" s="60"/>
      <c r="O58" s="172">
        <f>40*10000</f>
        <v>400000</v>
      </c>
      <c r="P58" s="147" t="s">
        <v>367</v>
      </c>
      <c r="Q58" s="147" t="s">
        <v>367</v>
      </c>
      <c r="R58" s="60"/>
      <c r="S58" s="60"/>
      <c r="T58" s="172">
        <f>30*10000</f>
        <v>300000</v>
      </c>
      <c r="U58" s="147" t="s">
        <v>367</v>
      </c>
      <c r="V58" s="147" t="s">
        <v>367</v>
      </c>
      <c r="W58" s="60"/>
      <c r="X58" s="60"/>
      <c r="Y58" s="172">
        <f>10*10000</f>
        <v>100000</v>
      </c>
      <c r="Z58" s="147" t="s">
        <v>367</v>
      </c>
      <c r="AA58" s="147" t="s">
        <v>367</v>
      </c>
      <c r="AB58" s="60"/>
      <c r="AC58" s="60"/>
      <c r="AD58" s="172">
        <f>10*10000</f>
        <v>100000</v>
      </c>
      <c r="AE58" s="34"/>
    </row>
    <row r="59" spans="1:31" ht="43.5" thickBot="1" x14ac:dyDescent="0.3">
      <c r="A59" s="290"/>
      <c r="B59" s="125"/>
      <c r="C59" s="239"/>
      <c r="D59" s="6" t="s">
        <v>205</v>
      </c>
      <c r="E59" s="15" t="s">
        <v>193</v>
      </c>
      <c r="F59" s="147"/>
      <c r="G59" s="147"/>
      <c r="H59" s="147"/>
      <c r="I59" s="147"/>
      <c r="J59" s="172">
        <v>0</v>
      </c>
      <c r="K59" s="147" t="s">
        <v>367</v>
      </c>
      <c r="L59" s="147" t="s">
        <v>367</v>
      </c>
      <c r="M59" s="60"/>
      <c r="N59" s="60"/>
      <c r="O59" s="172">
        <f>70*1500</f>
        <v>105000</v>
      </c>
      <c r="P59" s="147" t="s">
        <v>367</v>
      </c>
      <c r="Q59" s="147" t="s">
        <v>367</v>
      </c>
      <c r="R59" s="60"/>
      <c r="S59" s="60"/>
      <c r="T59" s="172">
        <f>12*1500</f>
        <v>18000</v>
      </c>
      <c r="U59" s="147" t="s">
        <v>367</v>
      </c>
      <c r="V59" s="147" t="s">
        <v>367</v>
      </c>
      <c r="W59" s="60"/>
      <c r="X59" s="60"/>
      <c r="Y59" s="172">
        <f>10*1500</f>
        <v>15000</v>
      </c>
      <c r="Z59" s="147" t="s">
        <v>367</v>
      </c>
      <c r="AA59" s="147" t="s">
        <v>367</v>
      </c>
      <c r="AB59" s="60"/>
      <c r="AC59" s="60"/>
      <c r="AD59" s="172">
        <f>10*1500</f>
        <v>15000</v>
      </c>
      <c r="AE59" s="34"/>
    </row>
    <row r="60" spans="1:31" ht="43.5" thickBot="1" x14ac:dyDescent="0.3">
      <c r="A60" s="290"/>
      <c r="B60" s="121">
        <v>4.0999999999999996</v>
      </c>
      <c r="C60" s="240"/>
      <c r="D60" s="6" t="s">
        <v>206</v>
      </c>
      <c r="E60" s="15" t="s">
        <v>194</v>
      </c>
      <c r="F60" s="147"/>
      <c r="G60" s="147"/>
      <c r="H60" s="147"/>
      <c r="I60" s="147"/>
      <c r="J60" s="173">
        <v>0</v>
      </c>
      <c r="K60" s="147" t="s">
        <v>367</v>
      </c>
      <c r="L60" s="147" t="s">
        <v>367</v>
      </c>
      <c r="M60" s="60"/>
      <c r="N60" s="60"/>
      <c r="O60" s="173">
        <v>150000</v>
      </c>
      <c r="P60" s="147" t="s">
        <v>367</v>
      </c>
      <c r="Q60" s="147" t="s">
        <v>367</v>
      </c>
      <c r="R60" s="60"/>
      <c r="S60" s="60"/>
      <c r="T60" s="173">
        <v>150000</v>
      </c>
      <c r="U60" s="147" t="s">
        <v>367</v>
      </c>
      <c r="V60" s="147" t="s">
        <v>367</v>
      </c>
      <c r="W60" s="60"/>
      <c r="X60" s="60"/>
      <c r="Y60" s="173">
        <v>150000</v>
      </c>
      <c r="Z60" s="147" t="s">
        <v>367</v>
      </c>
      <c r="AA60" s="147" t="s">
        <v>367</v>
      </c>
      <c r="AB60" s="60"/>
      <c r="AC60" s="60"/>
      <c r="AD60" s="173">
        <v>150000</v>
      </c>
      <c r="AE60" s="34"/>
    </row>
    <row r="61" spans="1:31" ht="29.25" thickBot="1" x14ac:dyDescent="0.3">
      <c r="A61" s="290"/>
      <c r="B61" s="125"/>
      <c r="C61" s="241" t="s">
        <v>93</v>
      </c>
      <c r="D61" s="6" t="s">
        <v>207</v>
      </c>
      <c r="E61" s="15" t="s">
        <v>195</v>
      </c>
      <c r="F61" s="147"/>
      <c r="G61" s="147"/>
      <c r="H61" s="147" t="s">
        <v>367</v>
      </c>
      <c r="I61" s="147"/>
      <c r="J61" s="173">
        <v>0</v>
      </c>
      <c r="K61" s="60"/>
      <c r="L61" s="60"/>
      <c r="M61" s="147" t="s">
        <v>367</v>
      </c>
      <c r="N61" s="60"/>
      <c r="O61" s="173">
        <f>69000+23920</f>
        <v>92920</v>
      </c>
      <c r="P61" s="60"/>
      <c r="Q61" s="60"/>
      <c r="R61" s="147" t="s">
        <v>367</v>
      </c>
      <c r="S61" s="60"/>
      <c r="T61" s="173">
        <v>23920</v>
      </c>
      <c r="U61" s="60"/>
      <c r="V61" s="60"/>
      <c r="W61" s="147" t="s">
        <v>367</v>
      </c>
      <c r="X61" s="60"/>
      <c r="Y61" s="173">
        <v>23920</v>
      </c>
      <c r="Z61" s="60"/>
      <c r="AA61" s="60"/>
      <c r="AB61" s="147" t="s">
        <v>367</v>
      </c>
      <c r="AC61" s="60"/>
      <c r="AD61" s="173">
        <v>23920</v>
      </c>
      <c r="AE61" s="34"/>
    </row>
    <row r="62" spans="1:31" ht="29.25" thickBot="1" x14ac:dyDescent="0.3">
      <c r="A62" s="290"/>
      <c r="B62" s="125"/>
      <c r="C62" s="240"/>
      <c r="D62" s="6" t="s">
        <v>208</v>
      </c>
      <c r="E62" s="15" t="s">
        <v>196</v>
      </c>
      <c r="F62" s="147"/>
      <c r="G62" s="147"/>
      <c r="H62" s="147" t="s">
        <v>367</v>
      </c>
      <c r="I62" s="147"/>
      <c r="J62" s="172">
        <v>0</v>
      </c>
      <c r="K62" s="60"/>
      <c r="L62" s="60"/>
      <c r="M62" s="147" t="s">
        <v>367</v>
      </c>
      <c r="N62" s="60"/>
      <c r="O62" s="172">
        <v>40000</v>
      </c>
      <c r="P62" s="60"/>
      <c r="Q62" s="60"/>
      <c r="R62" s="147" t="s">
        <v>367</v>
      </c>
      <c r="S62" s="60"/>
      <c r="T62" s="172">
        <v>40000</v>
      </c>
      <c r="U62" s="60"/>
      <c r="V62" s="60"/>
      <c r="W62" s="147" t="s">
        <v>367</v>
      </c>
      <c r="X62" s="60"/>
      <c r="Y62" s="172">
        <v>40000</v>
      </c>
      <c r="Z62" s="60"/>
      <c r="AA62" s="60"/>
      <c r="AB62" s="147" t="s">
        <v>367</v>
      </c>
      <c r="AC62" s="60"/>
      <c r="AD62" s="172">
        <v>30000</v>
      </c>
      <c r="AE62" s="34"/>
    </row>
    <row r="63" spans="1:31" ht="29.25" thickBot="1" x14ac:dyDescent="0.3">
      <c r="A63" s="290"/>
      <c r="B63" s="125"/>
      <c r="C63" s="241" t="s">
        <v>94</v>
      </c>
      <c r="D63" s="6" t="s">
        <v>209</v>
      </c>
      <c r="E63" s="15" t="s">
        <v>197</v>
      </c>
      <c r="F63" s="147" t="s">
        <v>367</v>
      </c>
      <c r="G63" s="147"/>
      <c r="H63" s="147"/>
      <c r="I63" s="147"/>
      <c r="J63" s="172">
        <v>24000</v>
      </c>
      <c r="K63" s="147" t="s">
        <v>367</v>
      </c>
      <c r="L63" s="60"/>
      <c r="M63" s="60"/>
      <c r="N63" s="60"/>
      <c r="O63" s="172">
        <v>42000</v>
      </c>
      <c r="P63" s="147" t="s">
        <v>367</v>
      </c>
      <c r="Q63" s="60"/>
      <c r="R63" s="60"/>
      <c r="S63" s="60"/>
      <c r="T63" s="172">
        <v>60000</v>
      </c>
      <c r="U63" s="147" t="s">
        <v>367</v>
      </c>
      <c r="V63" s="60"/>
      <c r="W63" s="60"/>
      <c r="X63" s="60"/>
      <c r="Y63" s="172">
        <v>66000</v>
      </c>
      <c r="Z63" s="147" t="s">
        <v>367</v>
      </c>
      <c r="AA63" s="60"/>
      <c r="AB63" s="60"/>
      <c r="AC63" s="60"/>
      <c r="AD63" s="172">
        <v>72000</v>
      </c>
      <c r="AE63" s="34"/>
    </row>
    <row r="64" spans="1:31" ht="29.25" thickBot="1" x14ac:dyDescent="0.3">
      <c r="A64" s="291"/>
      <c r="B64" s="124"/>
      <c r="C64" s="240"/>
      <c r="D64" s="6" t="s">
        <v>210</v>
      </c>
      <c r="E64" s="15" t="s">
        <v>293</v>
      </c>
      <c r="F64" s="147"/>
      <c r="G64" s="147"/>
      <c r="H64" s="147"/>
      <c r="I64" s="147"/>
      <c r="J64" s="172">
        <v>0</v>
      </c>
      <c r="K64" s="147" t="s">
        <v>367</v>
      </c>
      <c r="L64" s="60"/>
      <c r="M64" s="60"/>
      <c r="N64" s="60"/>
      <c r="O64" s="172">
        <v>675000</v>
      </c>
      <c r="P64" s="147" t="s">
        <v>367</v>
      </c>
      <c r="Q64" s="60"/>
      <c r="R64" s="60"/>
      <c r="S64" s="60"/>
      <c r="T64" s="172">
        <v>675000</v>
      </c>
      <c r="U64" s="147" t="s">
        <v>367</v>
      </c>
      <c r="V64" s="60"/>
      <c r="W64" s="60"/>
      <c r="X64" s="60"/>
      <c r="Y64" s="172">
        <v>675000</v>
      </c>
      <c r="Z64" s="147" t="s">
        <v>367</v>
      </c>
      <c r="AA64" s="60"/>
      <c r="AB64" s="60"/>
      <c r="AC64" s="60"/>
      <c r="AD64" s="172">
        <v>675000</v>
      </c>
      <c r="AE64" s="34"/>
    </row>
    <row r="65" spans="1:31" ht="43.5" thickBot="1" x14ac:dyDescent="0.3">
      <c r="A65" s="289" t="s">
        <v>176</v>
      </c>
      <c r="B65" s="125"/>
      <c r="C65" s="238" t="s">
        <v>95</v>
      </c>
      <c r="D65" s="6" t="s">
        <v>212</v>
      </c>
      <c r="E65" s="15" t="s">
        <v>211</v>
      </c>
      <c r="F65" s="147"/>
      <c r="G65" s="147" t="s">
        <v>367</v>
      </c>
      <c r="H65" s="147" t="s">
        <v>367</v>
      </c>
      <c r="I65" s="147"/>
      <c r="J65" s="172">
        <v>52560</v>
      </c>
      <c r="K65" s="60"/>
      <c r="L65" s="147" t="s">
        <v>367</v>
      </c>
      <c r="M65" s="147" t="s">
        <v>367</v>
      </c>
      <c r="N65" s="60"/>
      <c r="O65" s="172">
        <v>105120</v>
      </c>
      <c r="P65" s="60"/>
      <c r="Q65" s="147" t="s">
        <v>367</v>
      </c>
      <c r="R65" s="147" t="s">
        <v>367</v>
      </c>
      <c r="S65" s="60"/>
      <c r="T65" s="172">
        <v>52560</v>
      </c>
      <c r="U65" s="60"/>
      <c r="V65" s="147" t="s">
        <v>367</v>
      </c>
      <c r="W65" s="147" t="s">
        <v>367</v>
      </c>
      <c r="X65" s="60"/>
      <c r="Y65" s="172">
        <v>26280</v>
      </c>
      <c r="Z65" s="60"/>
      <c r="AA65" s="147" t="s">
        <v>367</v>
      </c>
      <c r="AB65" s="147" t="s">
        <v>367</v>
      </c>
      <c r="AC65" s="60"/>
      <c r="AD65" s="172">
        <v>26280</v>
      </c>
      <c r="AE65" s="34"/>
    </row>
    <row r="66" spans="1:31" ht="43.5" thickBot="1" x14ac:dyDescent="0.3">
      <c r="A66" s="290"/>
      <c r="B66" s="121">
        <v>4.2</v>
      </c>
      <c r="C66" s="240"/>
      <c r="D66" s="6" t="s">
        <v>213</v>
      </c>
      <c r="E66" s="15" t="s">
        <v>198</v>
      </c>
      <c r="F66" s="147" t="s">
        <v>367</v>
      </c>
      <c r="G66" s="147" t="s">
        <v>367</v>
      </c>
      <c r="H66" s="147" t="s">
        <v>367</v>
      </c>
      <c r="I66" s="147" t="s">
        <v>367</v>
      </c>
      <c r="J66" s="172">
        <f>40000*2</f>
        <v>80000</v>
      </c>
      <c r="K66" s="147" t="s">
        <v>367</v>
      </c>
      <c r="L66" s="147" t="s">
        <v>367</v>
      </c>
      <c r="M66" s="147" t="s">
        <v>367</v>
      </c>
      <c r="N66" s="147" t="s">
        <v>367</v>
      </c>
      <c r="O66" s="172">
        <f>40000*2</f>
        <v>80000</v>
      </c>
      <c r="P66" s="147" t="s">
        <v>367</v>
      </c>
      <c r="Q66" s="147" t="s">
        <v>367</v>
      </c>
      <c r="R66" s="147" t="s">
        <v>367</v>
      </c>
      <c r="S66" s="147" t="s">
        <v>367</v>
      </c>
      <c r="T66" s="172">
        <f>40000*2</f>
        <v>80000</v>
      </c>
      <c r="U66" s="147" t="s">
        <v>367</v>
      </c>
      <c r="V66" s="147" t="s">
        <v>367</v>
      </c>
      <c r="W66" s="147" t="s">
        <v>367</v>
      </c>
      <c r="X66" s="147" t="s">
        <v>367</v>
      </c>
      <c r="Y66" s="172">
        <f>40000*2</f>
        <v>80000</v>
      </c>
      <c r="Z66" s="147" t="s">
        <v>367</v>
      </c>
      <c r="AA66" s="147" t="s">
        <v>367</v>
      </c>
      <c r="AB66" s="147" t="s">
        <v>367</v>
      </c>
      <c r="AC66" s="147" t="s">
        <v>367</v>
      </c>
      <c r="AD66" s="172">
        <f>40000*2</f>
        <v>80000</v>
      </c>
      <c r="AE66" s="34"/>
    </row>
    <row r="67" spans="1:31" ht="43.5" thickBot="1" x14ac:dyDescent="0.3">
      <c r="A67" s="290"/>
      <c r="B67" s="125"/>
      <c r="C67" s="241" t="s">
        <v>96</v>
      </c>
      <c r="D67" s="6" t="s">
        <v>214</v>
      </c>
      <c r="E67" s="15" t="s">
        <v>277</v>
      </c>
      <c r="F67" s="147"/>
      <c r="G67" s="147"/>
      <c r="H67" s="147"/>
      <c r="I67" s="147"/>
      <c r="J67" s="172">
        <v>0</v>
      </c>
      <c r="K67" s="60"/>
      <c r="L67" s="60"/>
      <c r="M67" s="60"/>
      <c r="N67" s="60"/>
      <c r="O67" s="172">
        <v>0</v>
      </c>
      <c r="P67" s="60"/>
      <c r="Q67" s="60"/>
      <c r="R67" s="60"/>
      <c r="S67" s="147" t="s">
        <v>367</v>
      </c>
      <c r="T67" s="172">
        <v>94000</v>
      </c>
      <c r="U67" s="60"/>
      <c r="V67" s="60"/>
      <c r="W67" s="60"/>
      <c r="X67" s="60"/>
      <c r="Y67" s="172">
        <v>0</v>
      </c>
      <c r="Z67" s="60"/>
      <c r="AA67" s="60"/>
      <c r="AB67" s="60"/>
      <c r="AC67" s="60"/>
      <c r="AD67" s="172">
        <v>0</v>
      </c>
      <c r="AE67" s="34"/>
    </row>
    <row r="68" spans="1:31" ht="43.5" thickBot="1" x14ac:dyDescent="0.3">
      <c r="A68" s="290"/>
      <c r="B68" s="124"/>
      <c r="C68" s="240"/>
      <c r="D68" s="6" t="s">
        <v>215</v>
      </c>
      <c r="E68" s="15" t="s">
        <v>278</v>
      </c>
      <c r="F68" s="147"/>
      <c r="G68" s="147"/>
      <c r="H68" s="147" t="s">
        <v>367</v>
      </c>
      <c r="I68" s="147" t="s">
        <v>367</v>
      </c>
      <c r="J68" s="172">
        <v>0</v>
      </c>
      <c r="K68" s="60"/>
      <c r="L68" s="60"/>
      <c r="M68" s="147" t="s">
        <v>367</v>
      </c>
      <c r="N68" s="147" t="s">
        <v>367</v>
      </c>
      <c r="O68" s="172">
        <v>118000</v>
      </c>
      <c r="P68" s="60"/>
      <c r="Q68" s="60"/>
      <c r="R68" s="147" t="s">
        <v>367</v>
      </c>
      <c r="S68" s="147" t="s">
        <v>367</v>
      </c>
      <c r="T68" s="172">
        <v>100000</v>
      </c>
      <c r="U68" s="60"/>
      <c r="V68" s="60"/>
      <c r="W68" s="147" t="s">
        <v>367</v>
      </c>
      <c r="X68" s="147" t="s">
        <v>367</v>
      </c>
      <c r="Y68" s="172">
        <v>0</v>
      </c>
      <c r="Z68" s="60"/>
      <c r="AA68" s="60"/>
      <c r="AB68" s="147" t="s">
        <v>367</v>
      </c>
      <c r="AC68" s="147" t="s">
        <v>367</v>
      </c>
      <c r="AD68" s="172">
        <v>0</v>
      </c>
      <c r="AE68" s="34" t="s">
        <v>171</v>
      </c>
    </row>
    <row r="69" spans="1:31" ht="43.5" thickBot="1" x14ac:dyDescent="0.3">
      <c r="A69" s="235" t="s">
        <v>177</v>
      </c>
      <c r="B69" s="125"/>
      <c r="C69" s="238" t="s">
        <v>97</v>
      </c>
      <c r="D69" s="6" t="s">
        <v>216</v>
      </c>
      <c r="E69" s="15" t="s">
        <v>98</v>
      </c>
      <c r="F69" s="147"/>
      <c r="G69" s="147"/>
      <c r="H69" s="147"/>
      <c r="I69" s="147" t="s">
        <v>367</v>
      </c>
      <c r="J69" s="172">
        <v>40000</v>
      </c>
      <c r="K69" s="60"/>
      <c r="L69" s="60"/>
      <c r="M69" s="60"/>
      <c r="N69" s="147" t="s">
        <v>367</v>
      </c>
      <c r="O69" s="172">
        <v>40000</v>
      </c>
      <c r="P69" s="60"/>
      <c r="Q69" s="60"/>
      <c r="R69" s="60"/>
      <c r="S69" s="147" t="s">
        <v>367</v>
      </c>
      <c r="T69" s="172">
        <v>40000</v>
      </c>
      <c r="U69" s="60"/>
      <c r="V69" s="60"/>
      <c r="W69" s="60"/>
      <c r="X69" s="147" t="s">
        <v>367</v>
      </c>
      <c r="Y69" s="172">
        <v>40000</v>
      </c>
      <c r="Z69" s="60"/>
      <c r="AA69" s="60"/>
      <c r="AB69" s="60"/>
      <c r="AC69" s="147" t="s">
        <v>367</v>
      </c>
      <c r="AD69" s="172">
        <v>40000</v>
      </c>
      <c r="AE69" s="34" t="s">
        <v>171</v>
      </c>
    </row>
    <row r="70" spans="1:31" ht="43.5" thickBot="1" x14ac:dyDescent="0.3">
      <c r="A70" s="236"/>
      <c r="B70" s="121">
        <v>4.3</v>
      </c>
      <c r="C70" s="239"/>
      <c r="D70" s="6" t="s">
        <v>217</v>
      </c>
      <c r="E70" s="15" t="s">
        <v>279</v>
      </c>
      <c r="F70" s="147" t="s">
        <v>367</v>
      </c>
      <c r="G70" s="147" t="s">
        <v>367</v>
      </c>
      <c r="H70" s="147" t="s">
        <v>367</v>
      </c>
      <c r="I70" s="147" t="s">
        <v>367</v>
      </c>
      <c r="J70" s="172">
        <f t="shared" ref="J70:Y71" si="2">7*3000</f>
        <v>21000</v>
      </c>
      <c r="K70" s="147" t="s">
        <v>367</v>
      </c>
      <c r="L70" s="147" t="s">
        <v>367</v>
      </c>
      <c r="M70" s="147" t="s">
        <v>367</v>
      </c>
      <c r="N70" s="147" t="s">
        <v>367</v>
      </c>
      <c r="O70" s="172">
        <f t="shared" si="2"/>
        <v>21000</v>
      </c>
      <c r="P70" s="147" t="s">
        <v>367</v>
      </c>
      <c r="Q70" s="147" t="s">
        <v>367</v>
      </c>
      <c r="R70" s="147" t="s">
        <v>367</v>
      </c>
      <c r="S70" s="147" t="s">
        <v>367</v>
      </c>
      <c r="T70" s="172">
        <f t="shared" si="2"/>
        <v>21000</v>
      </c>
      <c r="U70" s="147" t="s">
        <v>367</v>
      </c>
      <c r="V70" s="147" t="s">
        <v>367</v>
      </c>
      <c r="W70" s="147" t="s">
        <v>367</v>
      </c>
      <c r="X70" s="147" t="s">
        <v>367</v>
      </c>
      <c r="Y70" s="172">
        <f t="shared" si="2"/>
        <v>21000</v>
      </c>
      <c r="Z70" s="60"/>
      <c r="AA70" s="60"/>
      <c r="AB70" s="60"/>
      <c r="AC70" s="60"/>
      <c r="AD70" s="172">
        <f>5*3000</f>
        <v>15000</v>
      </c>
      <c r="AE70" s="34" t="s">
        <v>171</v>
      </c>
    </row>
    <row r="71" spans="1:31" ht="57" x14ac:dyDescent="0.25">
      <c r="A71" s="236"/>
      <c r="B71" s="136"/>
      <c r="C71" s="239"/>
      <c r="D71" s="8" t="s">
        <v>218</v>
      </c>
      <c r="E71" s="72" t="s">
        <v>99</v>
      </c>
      <c r="F71" s="147"/>
      <c r="G71" s="147"/>
      <c r="H71" s="147" t="s">
        <v>367</v>
      </c>
      <c r="I71" s="147" t="s">
        <v>367</v>
      </c>
      <c r="J71" s="213">
        <f t="shared" si="2"/>
        <v>21000</v>
      </c>
      <c r="K71" s="60"/>
      <c r="L71" s="60"/>
      <c r="M71" s="147" t="s">
        <v>367</v>
      </c>
      <c r="N71" s="147" t="s">
        <v>367</v>
      </c>
      <c r="O71" s="213">
        <f t="shared" si="2"/>
        <v>21000</v>
      </c>
      <c r="P71" s="60"/>
      <c r="Q71" s="60"/>
      <c r="R71" s="147" t="s">
        <v>367</v>
      </c>
      <c r="S71" s="147" t="s">
        <v>367</v>
      </c>
      <c r="T71" s="213">
        <f t="shared" si="2"/>
        <v>21000</v>
      </c>
      <c r="U71" s="60"/>
      <c r="V71" s="60"/>
      <c r="W71" s="147" t="s">
        <v>367</v>
      </c>
      <c r="X71" s="147" t="s">
        <v>367</v>
      </c>
      <c r="Y71" s="213">
        <f t="shared" si="2"/>
        <v>21000</v>
      </c>
      <c r="Z71" s="60"/>
      <c r="AA71" s="60"/>
      <c r="AB71" s="147" t="s">
        <v>367</v>
      </c>
      <c r="AC71" s="147" t="s">
        <v>367</v>
      </c>
      <c r="AD71" s="214">
        <f>5*3000</f>
        <v>15000</v>
      </c>
      <c r="AE71" s="34" t="s">
        <v>171</v>
      </c>
    </row>
    <row r="72" spans="1:31" s="205" customFormat="1" ht="21" x14ac:dyDescent="0.35">
      <c r="A72" s="200"/>
      <c r="B72" s="201"/>
      <c r="C72" s="201"/>
      <c r="D72" s="202"/>
      <c r="E72" s="202"/>
      <c r="F72" s="203"/>
      <c r="G72" s="203"/>
      <c r="H72" s="203"/>
      <c r="I72" s="203"/>
      <c r="J72" s="207">
        <f>SUM(J58:J71)</f>
        <v>238560</v>
      </c>
      <c r="K72" s="202"/>
      <c r="L72" s="202"/>
      <c r="M72" s="202"/>
      <c r="N72" s="202"/>
      <c r="O72" s="207">
        <f t="shared" ref="O72:AD72" si="3">SUM(O58:O71)</f>
        <v>1890040</v>
      </c>
      <c r="P72" s="202"/>
      <c r="Q72" s="202"/>
      <c r="R72" s="202"/>
      <c r="S72" s="202"/>
      <c r="T72" s="207">
        <f t="shared" si="3"/>
        <v>1675480</v>
      </c>
      <c r="U72" s="202"/>
      <c r="V72" s="202"/>
      <c r="W72" s="202"/>
      <c r="X72" s="202"/>
      <c r="Y72" s="207">
        <f t="shared" si="3"/>
        <v>1258200</v>
      </c>
      <c r="Z72" s="202"/>
      <c r="AA72" s="202"/>
      <c r="AB72" s="202"/>
      <c r="AC72" s="202"/>
      <c r="AD72" s="207">
        <f t="shared" si="3"/>
        <v>1242200</v>
      </c>
      <c r="AE72" s="204">
        <f>SUM(J72:AD72)</f>
        <v>6304480</v>
      </c>
    </row>
    <row r="73" spans="1:31" ht="28.15" customHeight="1" x14ac:dyDescent="0.4">
      <c r="A73" s="302" t="s">
        <v>145</v>
      </c>
      <c r="B73" s="303"/>
      <c r="C73" s="303"/>
      <c r="D73" s="303"/>
      <c r="E73" s="303"/>
      <c r="F73" s="303"/>
      <c r="G73" s="303"/>
      <c r="H73" s="303"/>
      <c r="I73" s="303"/>
      <c r="J73" s="303"/>
      <c r="K73" s="303"/>
      <c r="L73" s="303"/>
      <c r="M73" s="303"/>
      <c r="N73" s="303"/>
      <c r="O73" s="303"/>
      <c r="P73" s="303"/>
      <c r="Q73" s="303"/>
      <c r="R73" s="303"/>
      <c r="S73" s="303"/>
      <c r="T73" s="303"/>
      <c r="U73" s="303"/>
      <c r="V73" s="303"/>
      <c r="W73" s="303"/>
      <c r="X73" s="303"/>
      <c r="Y73" s="303"/>
      <c r="Z73" s="303"/>
      <c r="AA73" s="303"/>
      <c r="AB73" s="303"/>
      <c r="AC73" s="303"/>
      <c r="AD73" s="303"/>
      <c r="AE73" s="304"/>
    </row>
    <row r="74" spans="1:31" ht="31.5" customHeight="1" thickBot="1" x14ac:dyDescent="0.3">
      <c r="A74" s="47" t="s">
        <v>16</v>
      </c>
      <c r="B74" s="24" t="s">
        <v>17</v>
      </c>
      <c r="C74" s="24" t="s">
        <v>1</v>
      </c>
      <c r="D74" s="24" t="s">
        <v>2</v>
      </c>
      <c r="E74" s="24" t="s">
        <v>3</v>
      </c>
      <c r="F74" s="142"/>
      <c r="G74" s="142"/>
      <c r="H74" s="142"/>
      <c r="I74" s="142"/>
      <c r="J74" s="25">
        <v>2017</v>
      </c>
      <c r="K74" s="24"/>
      <c r="L74" s="24"/>
      <c r="M74" s="24"/>
      <c r="N74" s="24"/>
      <c r="O74" s="26">
        <v>2018</v>
      </c>
      <c r="P74" s="24"/>
      <c r="Q74" s="24"/>
      <c r="R74" s="24"/>
      <c r="S74" s="24"/>
      <c r="T74" s="26">
        <v>2019</v>
      </c>
      <c r="U74" s="24"/>
      <c r="V74" s="24"/>
      <c r="W74" s="24"/>
      <c r="X74" s="24"/>
      <c r="Y74" s="26">
        <v>2020</v>
      </c>
      <c r="Z74" s="24"/>
      <c r="AA74" s="24"/>
      <c r="AB74" s="24"/>
      <c r="AC74" s="24"/>
      <c r="AD74" s="26">
        <v>2021</v>
      </c>
      <c r="AE74" s="5" t="s">
        <v>22</v>
      </c>
    </row>
    <row r="75" spans="1:31" ht="43.5" thickBot="1" x14ac:dyDescent="0.3">
      <c r="A75" s="292" t="s">
        <v>100</v>
      </c>
      <c r="B75" s="93"/>
      <c r="C75" s="275" t="s">
        <v>101</v>
      </c>
      <c r="D75" s="6" t="s">
        <v>219</v>
      </c>
      <c r="E75" s="15" t="s">
        <v>220</v>
      </c>
      <c r="F75" s="147"/>
      <c r="G75" s="147"/>
      <c r="H75" s="147"/>
      <c r="I75" s="147"/>
      <c r="J75" s="169">
        <v>0</v>
      </c>
      <c r="K75" s="147"/>
      <c r="L75" s="147" t="s">
        <v>367</v>
      </c>
      <c r="M75" s="147"/>
      <c r="N75" s="147"/>
      <c r="O75" s="172">
        <v>3398000</v>
      </c>
      <c r="P75" s="147"/>
      <c r="Q75" s="147" t="s">
        <v>367</v>
      </c>
      <c r="R75" s="147"/>
      <c r="S75" s="147"/>
      <c r="T75" s="175">
        <v>3398000</v>
      </c>
      <c r="U75" s="147"/>
      <c r="V75" s="147" t="s">
        <v>367</v>
      </c>
      <c r="W75" s="147"/>
      <c r="X75" s="147"/>
      <c r="Y75" s="175">
        <v>3398000</v>
      </c>
      <c r="Z75" s="147"/>
      <c r="AA75" s="147" t="s">
        <v>367</v>
      </c>
      <c r="AB75" s="147"/>
      <c r="AC75" s="147"/>
      <c r="AD75" s="175">
        <v>0</v>
      </c>
      <c r="AE75" s="39" t="s">
        <v>148</v>
      </c>
    </row>
    <row r="76" spans="1:31" ht="29.25" thickBot="1" x14ac:dyDescent="0.3">
      <c r="A76" s="292"/>
      <c r="B76" s="98"/>
      <c r="C76" s="253"/>
      <c r="D76" s="19" t="s">
        <v>221</v>
      </c>
      <c r="E76" s="128" t="s">
        <v>224</v>
      </c>
      <c r="F76" s="147"/>
      <c r="G76" s="147"/>
      <c r="H76" s="147"/>
      <c r="I76" s="147"/>
      <c r="J76" s="169">
        <v>0</v>
      </c>
      <c r="K76" s="147" t="s">
        <v>367</v>
      </c>
      <c r="L76" s="147"/>
      <c r="M76" s="147"/>
      <c r="N76" s="147"/>
      <c r="O76" s="172">
        <f>360*1200</f>
        <v>432000</v>
      </c>
      <c r="P76" s="147" t="s">
        <v>367</v>
      </c>
      <c r="Q76" s="147"/>
      <c r="R76" s="147"/>
      <c r="S76" s="147"/>
      <c r="T76" s="175">
        <f>360*1200*2</f>
        <v>864000</v>
      </c>
      <c r="U76" s="147" t="s">
        <v>367</v>
      </c>
      <c r="V76" s="147"/>
      <c r="W76" s="147"/>
      <c r="X76" s="147"/>
      <c r="Y76" s="175">
        <f>360*1200*3</f>
        <v>1296000</v>
      </c>
      <c r="Z76" s="147" t="s">
        <v>367</v>
      </c>
      <c r="AA76" s="147"/>
      <c r="AB76" s="147"/>
      <c r="AC76" s="147"/>
      <c r="AD76" s="175">
        <f>360*1200*4</f>
        <v>1728000</v>
      </c>
      <c r="AE76" s="39" t="s">
        <v>148</v>
      </c>
    </row>
    <row r="77" spans="1:31" ht="43.5" thickBot="1" x14ac:dyDescent="0.3">
      <c r="A77" s="292"/>
      <c r="B77" s="98"/>
      <c r="C77" s="253"/>
      <c r="D77" s="19" t="s">
        <v>222</v>
      </c>
      <c r="E77" s="128" t="s">
        <v>225</v>
      </c>
      <c r="F77" s="147"/>
      <c r="G77" s="147"/>
      <c r="H77" s="147"/>
      <c r="I77" s="147"/>
      <c r="J77" s="169">
        <v>0</v>
      </c>
      <c r="K77" s="147"/>
      <c r="L77" s="147"/>
      <c r="M77" s="147" t="s">
        <v>367</v>
      </c>
      <c r="N77" s="147"/>
      <c r="O77" s="172">
        <f>360*300</f>
        <v>108000</v>
      </c>
      <c r="P77" s="147"/>
      <c r="Q77" s="147"/>
      <c r="R77" s="147" t="s">
        <v>367</v>
      </c>
      <c r="S77" s="147"/>
      <c r="T77" s="175">
        <f>360*300*2</f>
        <v>216000</v>
      </c>
      <c r="U77" s="147"/>
      <c r="V77" s="147"/>
      <c r="W77" s="147" t="s">
        <v>367</v>
      </c>
      <c r="X77" s="147"/>
      <c r="Y77" s="175">
        <f>360*300*3</f>
        <v>324000</v>
      </c>
      <c r="Z77" s="147"/>
      <c r="AA77" s="147"/>
      <c r="AB77" s="147" t="s">
        <v>367</v>
      </c>
      <c r="AC77" s="147"/>
      <c r="AD77" s="175">
        <f>360*300*3</f>
        <v>324000</v>
      </c>
      <c r="AE77" s="39" t="s">
        <v>148</v>
      </c>
    </row>
    <row r="78" spans="1:31" ht="42.75" x14ac:dyDescent="0.25">
      <c r="A78" s="292"/>
      <c r="B78" s="129">
        <v>5.0999999999999996</v>
      </c>
      <c r="C78" s="253"/>
      <c r="D78" s="19" t="s">
        <v>223</v>
      </c>
      <c r="E78" s="128" t="s">
        <v>226</v>
      </c>
      <c r="F78" s="147" t="s">
        <v>367</v>
      </c>
      <c r="G78" s="147" t="s">
        <v>367</v>
      </c>
      <c r="H78" s="147" t="s">
        <v>367</v>
      </c>
      <c r="I78" s="147" t="s">
        <v>367</v>
      </c>
      <c r="J78" s="169">
        <v>0</v>
      </c>
      <c r="K78" s="147" t="s">
        <v>367</v>
      </c>
      <c r="L78" s="147" t="s">
        <v>367</v>
      </c>
      <c r="M78" s="147" t="s">
        <v>367</v>
      </c>
      <c r="N78" s="147"/>
      <c r="O78" s="172">
        <f>50*1300</f>
        <v>65000</v>
      </c>
      <c r="P78" s="147" t="s">
        <v>367</v>
      </c>
      <c r="Q78" s="147" t="s">
        <v>367</v>
      </c>
      <c r="R78" s="147" t="s">
        <v>367</v>
      </c>
      <c r="S78" s="147" t="s">
        <v>367</v>
      </c>
      <c r="T78" s="175">
        <f>50*1300</f>
        <v>65000</v>
      </c>
      <c r="U78" s="147" t="s">
        <v>367</v>
      </c>
      <c r="V78" s="147" t="s">
        <v>367</v>
      </c>
      <c r="W78" s="147" t="s">
        <v>367</v>
      </c>
      <c r="X78" s="147" t="s">
        <v>367</v>
      </c>
      <c r="Y78" s="175">
        <f>50*1300</f>
        <v>65000</v>
      </c>
      <c r="Z78" s="147" t="s">
        <v>367</v>
      </c>
      <c r="AA78" s="147" t="s">
        <v>367</v>
      </c>
      <c r="AB78" s="147" t="s">
        <v>367</v>
      </c>
      <c r="AC78" s="147" t="s">
        <v>367</v>
      </c>
      <c r="AD78" s="175">
        <f>50*1300</f>
        <v>65000</v>
      </c>
      <c r="AE78" s="39" t="s">
        <v>148</v>
      </c>
    </row>
    <row r="79" spans="1:31" ht="75.75" thickBot="1" x14ac:dyDescent="0.3">
      <c r="A79" s="292"/>
      <c r="B79" s="98"/>
      <c r="C79" s="95" t="s">
        <v>102</v>
      </c>
      <c r="D79" s="6" t="s">
        <v>230</v>
      </c>
      <c r="E79" s="15" t="s">
        <v>227</v>
      </c>
      <c r="F79" s="147"/>
      <c r="G79" s="147"/>
      <c r="H79" s="147"/>
      <c r="I79" s="147"/>
      <c r="J79" s="169">
        <v>0</v>
      </c>
      <c r="K79" s="147" t="s">
        <v>367</v>
      </c>
      <c r="L79" s="147"/>
      <c r="M79" s="147"/>
      <c r="N79" s="147"/>
      <c r="O79" s="172">
        <f>1*15000</f>
        <v>15000</v>
      </c>
      <c r="P79" s="147" t="s">
        <v>367</v>
      </c>
      <c r="Q79" s="147"/>
      <c r="R79" s="147"/>
      <c r="S79" s="147"/>
      <c r="T79" s="175">
        <f>4*15000</f>
        <v>60000</v>
      </c>
      <c r="U79" s="147" t="s">
        <v>367</v>
      </c>
      <c r="V79" s="147"/>
      <c r="W79" s="147"/>
      <c r="X79" s="147"/>
      <c r="Y79" s="175">
        <v>0</v>
      </c>
      <c r="Z79" s="147" t="s">
        <v>367</v>
      </c>
      <c r="AA79" s="147"/>
      <c r="AB79" s="147"/>
      <c r="AC79" s="147"/>
      <c r="AD79" s="175">
        <v>0</v>
      </c>
      <c r="AE79" s="39" t="s">
        <v>148</v>
      </c>
    </row>
    <row r="80" spans="1:31" ht="45.75" thickBot="1" x14ac:dyDescent="0.3">
      <c r="A80" s="292"/>
      <c r="B80" s="95"/>
      <c r="C80" s="95" t="s">
        <v>103</v>
      </c>
      <c r="D80" s="6" t="s">
        <v>231</v>
      </c>
      <c r="E80" s="15" t="s">
        <v>228</v>
      </c>
      <c r="F80" s="147"/>
      <c r="G80" s="147" t="s">
        <v>367</v>
      </c>
      <c r="H80" s="147" t="s">
        <v>367</v>
      </c>
      <c r="I80" s="147"/>
      <c r="J80" s="169">
        <v>0</v>
      </c>
      <c r="K80" s="147"/>
      <c r="L80" s="147" t="s">
        <v>367</v>
      </c>
      <c r="M80" s="147" t="s">
        <v>367</v>
      </c>
      <c r="N80" s="147"/>
      <c r="O80" s="172">
        <f>1000*300</f>
        <v>300000</v>
      </c>
      <c r="P80" s="147"/>
      <c r="Q80" s="147" t="s">
        <v>367</v>
      </c>
      <c r="R80" s="147" t="s">
        <v>367</v>
      </c>
      <c r="S80" s="147"/>
      <c r="T80" s="175">
        <f>1000*300</f>
        <v>300000</v>
      </c>
      <c r="U80" s="147"/>
      <c r="V80" s="147" t="s">
        <v>367</v>
      </c>
      <c r="W80" s="147" t="s">
        <v>367</v>
      </c>
      <c r="X80" s="147"/>
      <c r="Y80" s="175">
        <f>1000*300</f>
        <v>300000</v>
      </c>
      <c r="Z80" s="147"/>
      <c r="AA80" s="147" t="s">
        <v>367</v>
      </c>
      <c r="AB80" s="147" t="s">
        <v>367</v>
      </c>
      <c r="AC80" s="147"/>
      <c r="AD80" s="175">
        <f>1000*300</f>
        <v>300000</v>
      </c>
      <c r="AE80" s="39" t="s">
        <v>148</v>
      </c>
    </row>
    <row r="81" spans="1:31" ht="114.75" thickBot="1" x14ac:dyDescent="0.3">
      <c r="A81" s="293" t="s">
        <v>186</v>
      </c>
      <c r="B81" s="107"/>
      <c r="C81" s="130" t="s">
        <v>104</v>
      </c>
      <c r="D81" s="6" t="s">
        <v>232</v>
      </c>
      <c r="E81" s="15" t="s">
        <v>229</v>
      </c>
      <c r="F81" s="147"/>
      <c r="G81" s="147"/>
      <c r="H81" s="147"/>
      <c r="I81" s="147"/>
      <c r="J81" s="169">
        <v>0</v>
      </c>
      <c r="K81" s="147"/>
      <c r="L81" s="147"/>
      <c r="M81" s="147" t="s">
        <v>367</v>
      </c>
      <c r="N81" s="147"/>
      <c r="O81" s="172">
        <v>300000</v>
      </c>
      <c r="P81" s="147"/>
      <c r="Q81" s="147"/>
      <c r="R81" s="147" t="s">
        <v>367</v>
      </c>
      <c r="S81" s="147"/>
      <c r="T81" s="175">
        <v>300000</v>
      </c>
      <c r="U81" s="147"/>
      <c r="V81" s="147"/>
      <c r="W81" s="147" t="s">
        <v>367</v>
      </c>
      <c r="X81" s="147"/>
      <c r="Y81" s="175">
        <v>300000</v>
      </c>
      <c r="Z81" s="147"/>
      <c r="AA81" s="147"/>
      <c r="AB81" s="147" t="s">
        <v>367</v>
      </c>
      <c r="AC81" s="147"/>
      <c r="AD81" s="175">
        <v>300000</v>
      </c>
      <c r="AE81" s="39" t="s">
        <v>148</v>
      </c>
    </row>
    <row r="82" spans="1:31" ht="60.75" thickBot="1" x14ac:dyDescent="0.3">
      <c r="A82" s="293"/>
      <c r="B82" s="131"/>
      <c r="C82" s="130" t="s">
        <v>105</v>
      </c>
      <c r="D82" s="18" t="s">
        <v>233</v>
      </c>
      <c r="E82" s="15" t="s">
        <v>249</v>
      </c>
      <c r="F82" s="147"/>
      <c r="G82" s="147"/>
      <c r="H82" s="147"/>
      <c r="I82" s="147"/>
      <c r="J82" s="169">
        <v>0</v>
      </c>
      <c r="K82" s="147" t="s">
        <v>367</v>
      </c>
      <c r="L82" s="147"/>
      <c r="M82" s="147"/>
      <c r="N82" s="147"/>
      <c r="O82" s="172">
        <v>70000</v>
      </c>
      <c r="P82" s="147" t="s">
        <v>367</v>
      </c>
      <c r="Q82" s="147"/>
      <c r="R82" s="147"/>
      <c r="S82" s="147"/>
      <c r="T82" s="175">
        <v>0</v>
      </c>
      <c r="U82" s="147" t="s">
        <v>367</v>
      </c>
      <c r="V82" s="147"/>
      <c r="W82" s="147"/>
      <c r="X82" s="147"/>
      <c r="Y82" s="175">
        <v>0</v>
      </c>
      <c r="Z82" s="147" t="s">
        <v>367</v>
      </c>
      <c r="AA82" s="147"/>
      <c r="AB82" s="147"/>
      <c r="AC82" s="147"/>
      <c r="AD82" s="175">
        <v>0</v>
      </c>
      <c r="AE82" s="39" t="s">
        <v>148</v>
      </c>
    </row>
    <row r="83" spans="1:31" ht="43.5" thickBot="1" x14ac:dyDescent="0.3">
      <c r="A83" s="293"/>
      <c r="B83" s="108">
        <v>5.2</v>
      </c>
      <c r="C83" s="283" t="s">
        <v>106</v>
      </c>
      <c r="D83" s="18" t="s">
        <v>234</v>
      </c>
      <c r="E83" s="15" t="s">
        <v>250</v>
      </c>
      <c r="F83" s="147"/>
      <c r="G83" s="147"/>
      <c r="H83" s="147"/>
      <c r="I83" s="147"/>
      <c r="J83" s="169">
        <v>0</v>
      </c>
      <c r="K83" s="147" t="s">
        <v>367</v>
      </c>
      <c r="L83" s="147"/>
      <c r="M83" s="147"/>
      <c r="N83" s="147"/>
      <c r="O83" s="172">
        <v>46600</v>
      </c>
      <c r="P83" s="147" t="s">
        <v>367</v>
      </c>
      <c r="Q83" s="147"/>
      <c r="R83" s="147"/>
      <c r="S83" s="147"/>
      <c r="T83" s="175">
        <v>21600</v>
      </c>
      <c r="U83" s="147" t="s">
        <v>367</v>
      </c>
      <c r="V83" s="147"/>
      <c r="W83" s="147"/>
      <c r="X83" s="147"/>
      <c r="Y83" s="175">
        <v>26601</v>
      </c>
      <c r="Z83" s="147"/>
      <c r="AA83" s="147"/>
      <c r="AB83" s="147"/>
      <c r="AC83" s="147"/>
      <c r="AD83" s="175">
        <v>21602</v>
      </c>
      <c r="AE83" s="39" t="s">
        <v>148</v>
      </c>
    </row>
    <row r="84" spans="1:31" ht="29.25" thickBot="1" x14ac:dyDescent="0.3">
      <c r="A84" s="293"/>
      <c r="B84" s="131"/>
      <c r="C84" s="284"/>
      <c r="D84" s="18" t="s">
        <v>235</v>
      </c>
      <c r="E84" s="15" t="s">
        <v>251</v>
      </c>
      <c r="F84" s="147"/>
      <c r="G84" s="147"/>
      <c r="H84" s="147"/>
      <c r="I84" s="147"/>
      <c r="J84" s="169">
        <v>0</v>
      </c>
      <c r="K84" s="147"/>
      <c r="L84" s="147"/>
      <c r="M84" s="147"/>
      <c r="N84" s="147"/>
      <c r="O84" s="172">
        <f>50*2000</f>
        <v>100000</v>
      </c>
      <c r="P84" s="147"/>
      <c r="Q84" s="147"/>
      <c r="R84" s="147"/>
      <c r="S84" s="147"/>
      <c r="T84" s="175">
        <f>50*2000</f>
        <v>100000</v>
      </c>
      <c r="U84" s="147"/>
      <c r="V84" s="147"/>
      <c r="W84" s="147"/>
      <c r="X84" s="147"/>
      <c r="Y84" s="175">
        <f>50*2000</f>
        <v>100000</v>
      </c>
      <c r="Z84" s="147"/>
      <c r="AA84" s="147"/>
      <c r="AB84" s="147"/>
      <c r="AC84" s="147"/>
      <c r="AD84" s="175">
        <f>50*2000</f>
        <v>100000</v>
      </c>
      <c r="AE84" s="39" t="s">
        <v>148</v>
      </c>
    </row>
    <row r="85" spans="1:31" ht="29.25" thickBot="1" x14ac:dyDescent="0.3">
      <c r="A85" s="293"/>
      <c r="B85" s="131"/>
      <c r="C85" s="284"/>
      <c r="D85" s="18" t="s">
        <v>236</v>
      </c>
      <c r="E85" s="151" t="s">
        <v>252</v>
      </c>
      <c r="F85" s="152"/>
      <c r="G85" s="152"/>
      <c r="H85" s="152"/>
      <c r="I85" s="152"/>
      <c r="J85" s="169">
        <v>0</v>
      </c>
      <c r="K85" s="152"/>
      <c r="L85" s="147" t="s">
        <v>367</v>
      </c>
      <c r="M85" s="152"/>
      <c r="N85" s="152"/>
      <c r="O85" s="172">
        <v>30000</v>
      </c>
      <c r="P85" s="152"/>
      <c r="Q85" s="152"/>
      <c r="R85" s="147" t="s">
        <v>367</v>
      </c>
      <c r="S85" s="152"/>
      <c r="T85" s="175">
        <v>35000</v>
      </c>
      <c r="U85" s="152"/>
      <c r="V85" s="152"/>
      <c r="W85" s="152"/>
      <c r="X85" s="147" t="s">
        <v>367</v>
      </c>
      <c r="Y85" s="175">
        <v>40000</v>
      </c>
      <c r="Z85" s="152"/>
      <c r="AA85" s="152"/>
      <c r="AB85" s="152"/>
      <c r="AC85" s="152"/>
      <c r="AD85" s="175">
        <v>50000</v>
      </c>
      <c r="AE85" s="39" t="s">
        <v>148</v>
      </c>
    </row>
    <row r="86" spans="1:31" ht="43.5" thickBot="1" x14ac:dyDescent="0.3">
      <c r="A86" s="293"/>
      <c r="B86" s="131"/>
      <c r="C86" s="285"/>
      <c r="D86" s="18" t="s">
        <v>237</v>
      </c>
      <c r="E86" s="15" t="s">
        <v>253</v>
      </c>
      <c r="F86" s="147"/>
      <c r="G86" s="147"/>
      <c r="H86" s="147"/>
      <c r="I86" s="147"/>
      <c r="J86" s="169">
        <v>0</v>
      </c>
      <c r="K86" s="147"/>
      <c r="L86" s="147"/>
      <c r="M86" s="147"/>
      <c r="N86" s="147"/>
      <c r="O86" s="172">
        <v>30000</v>
      </c>
      <c r="P86" s="147"/>
      <c r="Q86" s="147"/>
      <c r="R86" s="147"/>
      <c r="S86" s="147"/>
      <c r="T86" s="175">
        <v>35000</v>
      </c>
      <c r="U86" s="147"/>
      <c r="V86" s="147"/>
      <c r="W86" s="147"/>
      <c r="X86" s="147"/>
      <c r="Y86" s="175">
        <v>40000</v>
      </c>
      <c r="Z86" s="147"/>
      <c r="AA86" s="147" t="s">
        <v>367</v>
      </c>
      <c r="AB86" s="147"/>
      <c r="AC86" s="147"/>
      <c r="AD86" s="175">
        <v>50000</v>
      </c>
      <c r="AE86" s="39" t="s">
        <v>148</v>
      </c>
    </row>
    <row r="87" spans="1:31" ht="43.5" thickBot="1" x14ac:dyDescent="0.3">
      <c r="A87" s="293"/>
      <c r="B87" s="131"/>
      <c r="C87" s="283" t="s">
        <v>107</v>
      </c>
      <c r="D87" s="18" t="s">
        <v>238</v>
      </c>
      <c r="E87" s="15" t="s">
        <v>254</v>
      </c>
      <c r="F87" s="147"/>
      <c r="G87" s="147"/>
      <c r="H87" s="147"/>
      <c r="I87" s="147"/>
      <c r="J87" s="169">
        <v>0</v>
      </c>
      <c r="K87" s="147"/>
      <c r="L87" s="147"/>
      <c r="M87" s="147"/>
      <c r="N87" s="147" t="s">
        <v>367</v>
      </c>
      <c r="O87" s="172">
        <f>5*6*10000</f>
        <v>300000</v>
      </c>
      <c r="P87" s="147"/>
      <c r="Q87" s="147"/>
      <c r="R87" s="147"/>
      <c r="S87" s="147"/>
      <c r="T87" s="175">
        <v>0</v>
      </c>
      <c r="U87" s="147"/>
      <c r="V87" s="147"/>
      <c r="W87" s="147"/>
      <c r="X87" s="147"/>
      <c r="Y87" s="175">
        <v>0</v>
      </c>
      <c r="Z87" s="147"/>
      <c r="AA87" s="147"/>
      <c r="AB87" s="147"/>
      <c r="AC87" s="147"/>
      <c r="AD87" s="175">
        <v>0</v>
      </c>
      <c r="AE87" s="39" t="s">
        <v>148</v>
      </c>
    </row>
    <row r="88" spans="1:31" ht="29.25" thickBot="1" x14ac:dyDescent="0.3">
      <c r="A88" s="293"/>
      <c r="B88" s="132"/>
      <c r="C88" s="285"/>
      <c r="D88" s="18" t="s">
        <v>239</v>
      </c>
      <c r="E88" s="15" t="s">
        <v>255</v>
      </c>
      <c r="F88" s="147" t="s">
        <v>367</v>
      </c>
      <c r="G88" s="147" t="s">
        <v>367</v>
      </c>
      <c r="H88" s="147" t="s">
        <v>367</v>
      </c>
      <c r="I88" s="147" t="s">
        <v>367</v>
      </c>
      <c r="J88" s="169">
        <v>0</v>
      </c>
      <c r="K88" s="147" t="s">
        <v>367</v>
      </c>
      <c r="L88" s="147" t="s">
        <v>367</v>
      </c>
      <c r="M88" s="147" t="s">
        <v>367</v>
      </c>
      <c r="N88" s="147" t="s">
        <v>367</v>
      </c>
      <c r="O88" s="172">
        <v>0</v>
      </c>
      <c r="P88" s="147" t="s">
        <v>367</v>
      </c>
      <c r="Q88" s="147" t="s">
        <v>367</v>
      </c>
      <c r="R88" s="147" t="s">
        <v>367</v>
      </c>
      <c r="S88" s="147" t="s">
        <v>367</v>
      </c>
      <c r="T88" s="175">
        <v>0</v>
      </c>
      <c r="U88" s="147" t="s">
        <v>367</v>
      </c>
      <c r="V88" s="147" t="s">
        <v>367</v>
      </c>
      <c r="W88" s="147" t="s">
        <v>367</v>
      </c>
      <c r="X88" s="147" t="s">
        <v>367</v>
      </c>
      <c r="Y88" s="175">
        <v>0</v>
      </c>
      <c r="Z88" s="147" t="s">
        <v>367</v>
      </c>
      <c r="AA88" s="147" t="s">
        <v>367</v>
      </c>
      <c r="AB88" s="147" t="s">
        <v>367</v>
      </c>
      <c r="AC88" s="147" t="s">
        <v>367</v>
      </c>
      <c r="AD88" s="175">
        <v>0</v>
      </c>
      <c r="AE88" s="39" t="s">
        <v>148</v>
      </c>
    </row>
    <row r="89" spans="1:31" ht="43.5" thickBot="1" x14ac:dyDescent="0.3">
      <c r="A89" s="292" t="s">
        <v>188</v>
      </c>
      <c r="B89" s="93"/>
      <c r="C89" s="275" t="s">
        <v>108</v>
      </c>
      <c r="D89" s="18" t="s">
        <v>240</v>
      </c>
      <c r="E89" s="15" t="s">
        <v>256</v>
      </c>
      <c r="F89" s="147"/>
      <c r="G89" s="147"/>
      <c r="H89" s="147"/>
      <c r="I89" s="147"/>
      <c r="J89" s="169">
        <v>0</v>
      </c>
      <c r="K89" s="147"/>
      <c r="L89" s="147" t="s">
        <v>367</v>
      </c>
      <c r="M89" s="147"/>
      <c r="N89" s="147"/>
      <c r="O89" s="172">
        <f>5*6*10000</f>
        <v>300000</v>
      </c>
      <c r="P89" s="147"/>
      <c r="Q89" s="147"/>
      <c r="R89" s="147"/>
      <c r="S89" s="147"/>
      <c r="T89" s="175">
        <v>0</v>
      </c>
      <c r="U89" s="147"/>
      <c r="V89" s="147"/>
      <c r="W89" s="147"/>
      <c r="X89" s="147"/>
      <c r="Y89" s="175">
        <v>0</v>
      </c>
      <c r="Z89" s="147"/>
      <c r="AA89" s="147"/>
      <c r="AB89" s="147"/>
      <c r="AC89" s="147"/>
      <c r="AD89" s="175">
        <v>0</v>
      </c>
      <c r="AE89" s="39" t="s">
        <v>148</v>
      </c>
    </row>
    <row r="90" spans="1:31" ht="43.5" thickBot="1" x14ac:dyDescent="0.3">
      <c r="A90" s="292"/>
      <c r="B90" s="98"/>
      <c r="C90" s="253"/>
      <c r="D90" s="18" t="s">
        <v>241</v>
      </c>
      <c r="E90" s="15" t="s">
        <v>257</v>
      </c>
      <c r="F90" s="147"/>
      <c r="G90" s="147"/>
      <c r="H90" s="147"/>
      <c r="I90" s="147"/>
      <c r="J90" s="169">
        <v>0</v>
      </c>
      <c r="K90" s="147"/>
      <c r="L90" s="147"/>
      <c r="M90" s="147" t="s">
        <v>367</v>
      </c>
      <c r="N90" s="147"/>
      <c r="O90" s="172">
        <v>10000</v>
      </c>
      <c r="P90" s="147"/>
      <c r="Q90" s="147"/>
      <c r="R90" s="147"/>
      <c r="S90" s="147" t="s">
        <v>367</v>
      </c>
      <c r="T90" s="175">
        <v>5000</v>
      </c>
      <c r="U90" s="147"/>
      <c r="V90" s="147"/>
      <c r="W90" s="147"/>
      <c r="X90" s="147"/>
      <c r="Y90" s="175">
        <v>0</v>
      </c>
      <c r="Z90" s="147"/>
      <c r="AA90" s="147"/>
      <c r="AB90" s="147"/>
      <c r="AC90" s="147"/>
      <c r="AD90" s="175">
        <v>5000</v>
      </c>
      <c r="AE90" s="39" t="s">
        <v>148</v>
      </c>
    </row>
    <row r="91" spans="1:31" ht="43.5" thickBot="1" x14ac:dyDescent="0.3">
      <c r="A91" s="292"/>
      <c r="B91" s="98"/>
      <c r="C91" s="254"/>
      <c r="D91" s="6" t="s">
        <v>242</v>
      </c>
      <c r="E91" s="15" t="s">
        <v>294</v>
      </c>
      <c r="F91" s="147"/>
      <c r="G91" s="147"/>
      <c r="H91" s="147"/>
      <c r="I91" s="147"/>
      <c r="J91" s="169">
        <v>0</v>
      </c>
      <c r="K91" s="147"/>
      <c r="L91" s="147"/>
      <c r="M91" s="147"/>
      <c r="N91" s="147" t="s">
        <v>367</v>
      </c>
      <c r="O91" s="172">
        <v>24000</v>
      </c>
      <c r="P91" s="147"/>
      <c r="Q91" s="147"/>
      <c r="R91" s="147"/>
      <c r="S91" s="147" t="s">
        <v>367</v>
      </c>
      <c r="T91" s="175">
        <v>24000</v>
      </c>
      <c r="U91" s="147"/>
      <c r="V91" s="147"/>
      <c r="W91" s="147"/>
      <c r="X91" s="147" t="s">
        <v>367</v>
      </c>
      <c r="Y91" s="175">
        <v>24000</v>
      </c>
      <c r="Z91" s="147"/>
      <c r="AA91" s="147"/>
      <c r="AB91" s="147"/>
      <c r="AC91" s="147"/>
      <c r="AD91" s="175">
        <v>24000</v>
      </c>
      <c r="AE91" s="39" t="s">
        <v>148</v>
      </c>
    </row>
    <row r="92" spans="1:31" ht="29.25" thickBot="1" x14ac:dyDescent="0.3">
      <c r="A92" s="292"/>
      <c r="B92" s="98">
        <v>5.3</v>
      </c>
      <c r="C92" s="275" t="s">
        <v>109</v>
      </c>
      <c r="D92" s="6" t="s">
        <v>243</v>
      </c>
      <c r="E92" s="15" t="s">
        <v>258</v>
      </c>
      <c r="F92" s="147"/>
      <c r="G92" s="147"/>
      <c r="H92" s="147"/>
      <c r="I92" s="147"/>
      <c r="J92" s="169">
        <v>0</v>
      </c>
      <c r="K92" s="147" t="s">
        <v>367</v>
      </c>
      <c r="L92" s="147" t="s">
        <v>367</v>
      </c>
      <c r="M92" s="147" t="s">
        <v>367</v>
      </c>
      <c r="N92" s="147" t="s">
        <v>367</v>
      </c>
      <c r="O92" s="172">
        <v>10000</v>
      </c>
      <c r="P92" s="147"/>
      <c r="Q92" s="147"/>
      <c r="R92" s="147"/>
      <c r="S92" s="147"/>
      <c r="T92" s="175">
        <v>0</v>
      </c>
      <c r="U92" s="147"/>
      <c r="V92" s="147"/>
      <c r="W92" s="147"/>
      <c r="X92" s="147"/>
      <c r="Y92" s="175">
        <v>0</v>
      </c>
      <c r="Z92" s="147"/>
      <c r="AA92" s="147"/>
      <c r="AB92" s="147"/>
      <c r="AC92" s="147"/>
      <c r="AD92" s="175">
        <v>0</v>
      </c>
      <c r="AE92" s="39" t="s">
        <v>148</v>
      </c>
    </row>
    <row r="93" spans="1:31" ht="43.5" thickBot="1" x14ac:dyDescent="0.3">
      <c r="A93" s="292"/>
      <c r="B93" s="98"/>
      <c r="C93" s="253"/>
      <c r="D93" s="6" t="s">
        <v>244</v>
      </c>
      <c r="E93" s="15" t="s">
        <v>259</v>
      </c>
      <c r="F93" s="147"/>
      <c r="G93" s="147"/>
      <c r="H93" s="147"/>
      <c r="I93" s="147"/>
      <c r="J93" s="169">
        <v>0</v>
      </c>
      <c r="K93" s="147"/>
      <c r="L93" s="147"/>
      <c r="M93" s="147" t="s">
        <v>367</v>
      </c>
      <c r="N93" s="147" t="s">
        <v>367</v>
      </c>
      <c r="O93" s="172">
        <v>30000</v>
      </c>
      <c r="P93" s="147"/>
      <c r="Q93" s="147"/>
      <c r="R93" s="147"/>
      <c r="S93" s="147"/>
      <c r="T93" s="175">
        <v>0</v>
      </c>
      <c r="U93" s="147"/>
      <c r="V93" s="147"/>
      <c r="W93" s="147" t="s">
        <v>367</v>
      </c>
      <c r="X93" s="147" t="s">
        <v>367</v>
      </c>
      <c r="Y93" s="175">
        <v>30000</v>
      </c>
      <c r="Z93" s="147"/>
      <c r="AA93" s="147"/>
      <c r="AB93" s="147"/>
      <c r="AC93" s="147"/>
      <c r="AD93" s="175">
        <v>0</v>
      </c>
      <c r="AE93" s="39" t="s">
        <v>148</v>
      </c>
    </row>
    <row r="94" spans="1:31" ht="29.25" thickBot="1" x14ac:dyDescent="0.3">
      <c r="A94" s="292"/>
      <c r="B94" s="98"/>
      <c r="C94" s="253"/>
      <c r="D94" s="6" t="s">
        <v>245</v>
      </c>
      <c r="E94" s="15" t="s">
        <v>261</v>
      </c>
      <c r="F94" s="147"/>
      <c r="G94" s="147"/>
      <c r="H94" s="147"/>
      <c r="I94" s="147"/>
      <c r="J94" s="169">
        <v>0</v>
      </c>
      <c r="K94" s="147"/>
      <c r="L94" s="147"/>
      <c r="M94" s="147" t="s">
        <v>367</v>
      </c>
      <c r="N94" s="147" t="s">
        <v>367</v>
      </c>
      <c r="O94" s="172">
        <v>30000</v>
      </c>
      <c r="P94" s="147"/>
      <c r="Q94" s="147"/>
      <c r="R94" s="147"/>
      <c r="S94" s="147"/>
      <c r="T94" s="175">
        <v>0</v>
      </c>
      <c r="U94" s="147"/>
      <c r="V94" s="147"/>
      <c r="W94" s="147" t="s">
        <v>367</v>
      </c>
      <c r="X94" s="147" t="s">
        <v>367</v>
      </c>
      <c r="Y94" s="175">
        <v>30000</v>
      </c>
      <c r="Z94" s="147"/>
      <c r="AA94" s="147"/>
      <c r="AB94" s="147"/>
      <c r="AC94" s="147"/>
      <c r="AD94" s="175">
        <v>0</v>
      </c>
      <c r="AE94" s="39" t="s">
        <v>148</v>
      </c>
    </row>
    <row r="95" spans="1:31" ht="57.75" customHeight="1" thickBot="1" x14ac:dyDescent="0.3">
      <c r="A95" s="292"/>
      <c r="B95" s="98"/>
      <c r="C95" s="253"/>
      <c r="D95" s="6" t="s">
        <v>246</v>
      </c>
      <c r="E95" s="15" t="s">
        <v>260</v>
      </c>
      <c r="F95" s="147"/>
      <c r="G95" s="147"/>
      <c r="H95" s="147"/>
      <c r="I95" s="147"/>
      <c r="J95" s="169">
        <v>0</v>
      </c>
      <c r="K95" s="147" t="s">
        <v>367</v>
      </c>
      <c r="L95" s="147"/>
      <c r="M95" s="147"/>
      <c r="N95" s="147"/>
      <c r="O95" s="172">
        <v>30000</v>
      </c>
      <c r="P95" s="147"/>
      <c r="Q95" s="147"/>
      <c r="R95" s="147"/>
      <c r="S95" s="147"/>
      <c r="T95" s="175">
        <v>0</v>
      </c>
      <c r="U95" s="147" t="s">
        <v>367</v>
      </c>
      <c r="V95" s="147"/>
      <c r="W95" s="147"/>
      <c r="X95" s="147"/>
      <c r="Y95" s="175">
        <v>30000</v>
      </c>
      <c r="Z95" s="147"/>
      <c r="AA95" s="147"/>
      <c r="AB95" s="147"/>
      <c r="AC95" s="147"/>
      <c r="AD95" s="175">
        <v>0</v>
      </c>
      <c r="AE95" s="39" t="s">
        <v>148</v>
      </c>
    </row>
    <row r="96" spans="1:31" ht="56.25" customHeight="1" thickBot="1" x14ac:dyDescent="0.3">
      <c r="A96" s="292"/>
      <c r="B96" s="98"/>
      <c r="C96" s="253"/>
      <c r="D96" s="42" t="s">
        <v>247</v>
      </c>
      <c r="E96" s="15"/>
      <c r="F96" s="147"/>
      <c r="G96" s="147"/>
      <c r="H96" s="147"/>
      <c r="I96" s="147"/>
      <c r="J96" s="169">
        <v>0</v>
      </c>
      <c r="K96" s="147" t="s">
        <v>367</v>
      </c>
      <c r="L96" s="147" t="s">
        <v>367</v>
      </c>
      <c r="M96" s="147" t="s">
        <v>367</v>
      </c>
      <c r="N96" s="147" t="s">
        <v>367</v>
      </c>
      <c r="O96" s="172">
        <v>72000</v>
      </c>
      <c r="P96" s="147" t="s">
        <v>367</v>
      </c>
      <c r="Q96" s="147" t="s">
        <v>367</v>
      </c>
      <c r="R96" s="147" t="s">
        <v>367</v>
      </c>
      <c r="S96" s="147" t="s">
        <v>367</v>
      </c>
      <c r="T96" s="175">
        <v>72000</v>
      </c>
      <c r="U96" s="147" t="s">
        <v>367</v>
      </c>
      <c r="V96" s="147" t="s">
        <v>367</v>
      </c>
      <c r="W96" s="147" t="s">
        <v>367</v>
      </c>
      <c r="X96" s="147" t="s">
        <v>367</v>
      </c>
      <c r="Y96" s="175">
        <v>72000</v>
      </c>
      <c r="Z96" s="147" t="s">
        <v>367</v>
      </c>
      <c r="AA96" s="147" t="s">
        <v>367</v>
      </c>
      <c r="AB96" s="147" t="s">
        <v>367</v>
      </c>
      <c r="AC96" s="147" t="s">
        <v>367</v>
      </c>
      <c r="AD96" s="175">
        <v>72000</v>
      </c>
      <c r="AE96" s="39" t="s">
        <v>148</v>
      </c>
    </row>
    <row r="97" spans="1:31" ht="29.25" thickBot="1" x14ac:dyDescent="0.3">
      <c r="A97" s="308"/>
      <c r="B97" s="98"/>
      <c r="C97" s="253"/>
      <c r="D97" s="8" t="s">
        <v>248</v>
      </c>
      <c r="E97" s="72" t="s">
        <v>262</v>
      </c>
      <c r="F97" s="147"/>
      <c r="G97" s="147"/>
      <c r="H97" s="147"/>
      <c r="I97" s="147"/>
      <c r="J97" s="170">
        <v>0</v>
      </c>
      <c r="K97" s="147"/>
      <c r="L97" s="147"/>
      <c r="M97" s="147"/>
      <c r="N97" s="147" t="s">
        <v>367</v>
      </c>
      <c r="O97" s="173">
        <v>1400899.25</v>
      </c>
      <c r="P97" s="147"/>
      <c r="Q97" s="147"/>
      <c r="R97" s="147"/>
      <c r="S97" s="147" t="s">
        <v>367</v>
      </c>
      <c r="T97" s="176">
        <v>1400899.25</v>
      </c>
      <c r="U97" s="147"/>
      <c r="V97" s="147"/>
      <c r="W97" s="147"/>
      <c r="X97" s="147" t="s">
        <v>367</v>
      </c>
      <c r="Y97" s="176">
        <v>1400899.25</v>
      </c>
      <c r="Z97" s="147"/>
      <c r="AA97" s="147"/>
      <c r="AB97" s="147"/>
      <c r="AC97" s="147" t="s">
        <v>367</v>
      </c>
      <c r="AD97" s="176">
        <v>1400899.25</v>
      </c>
      <c r="AE97" s="101" t="s">
        <v>148</v>
      </c>
    </row>
    <row r="98" spans="1:31" ht="33.6" customHeight="1" thickBot="1" x14ac:dyDescent="0.3">
      <c r="A98" s="140"/>
      <c r="B98" s="160"/>
      <c r="C98" s="160"/>
      <c r="D98" s="60"/>
      <c r="E98" s="60"/>
      <c r="F98" s="147"/>
      <c r="G98" s="147"/>
      <c r="H98" s="147"/>
      <c r="I98" s="147"/>
      <c r="J98" s="171">
        <f>SUM(J75:J97)</f>
        <v>0</v>
      </c>
      <c r="K98" s="147"/>
      <c r="L98" s="147"/>
      <c r="M98" s="147"/>
      <c r="N98" s="147"/>
      <c r="O98" s="174">
        <f t="shared" ref="O98:AD98" si="4">SUM(O75:O97)</f>
        <v>7101499.25</v>
      </c>
      <c r="P98" s="147"/>
      <c r="Q98" s="147"/>
      <c r="R98" s="147"/>
      <c r="S98" s="147"/>
      <c r="T98" s="177">
        <f t="shared" si="4"/>
        <v>6896499.25</v>
      </c>
      <c r="U98" s="147"/>
      <c r="V98" s="147"/>
      <c r="W98" s="147"/>
      <c r="X98" s="147"/>
      <c r="Y98" s="177">
        <f t="shared" si="4"/>
        <v>7476500.25</v>
      </c>
      <c r="Z98" s="147"/>
      <c r="AA98" s="147"/>
      <c r="AB98" s="147"/>
      <c r="AC98" s="147"/>
      <c r="AD98" s="177">
        <f t="shared" si="4"/>
        <v>4440501.25</v>
      </c>
      <c r="AE98" s="104">
        <f>SUM(J98:AD98)</f>
        <v>25915000</v>
      </c>
    </row>
    <row r="99" spans="1:31" ht="31.5" customHeight="1" x14ac:dyDescent="0.35">
      <c r="A99" s="305" t="s">
        <v>375</v>
      </c>
      <c r="B99" s="306"/>
      <c r="C99" s="306"/>
      <c r="D99" s="306"/>
      <c r="E99" s="306"/>
      <c r="F99" s="306"/>
      <c r="G99" s="306"/>
      <c r="H99" s="306"/>
      <c r="I99" s="306"/>
      <c r="J99" s="306"/>
      <c r="K99" s="306"/>
      <c r="L99" s="306"/>
      <c r="M99" s="306"/>
      <c r="N99" s="306"/>
      <c r="O99" s="306"/>
      <c r="P99" s="306"/>
      <c r="Q99" s="306"/>
      <c r="R99" s="306"/>
      <c r="S99" s="306"/>
      <c r="T99" s="306"/>
      <c r="U99" s="306"/>
      <c r="V99" s="306"/>
      <c r="W99" s="306"/>
      <c r="X99" s="306"/>
      <c r="Y99" s="306"/>
      <c r="Z99" s="306"/>
      <c r="AA99" s="306"/>
      <c r="AB99" s="306"/>
      <c r="AC99" s="306"/>
      <c r="AD99" s="306"/>
      <c r="AE99" s="307"/>
    </row>
    <row r="100" spans="1:31" ht="31.5" customHeight="1" thickBot="1" x14ac:dyDescent="0.3">
      <c r="A100" s="47" t="s">
        <v>16</v>
      </c>
      <c r="B100" s="24" t="s">
        <v>17</v>
      </c>
      <c r="C100" s="24" t="s">
        <v>1</v>
      </c>
      <c r="D100" s="24" t="s">
        <v>2</v>
      </c>
      <c r="E100" s="24" t="s">
        <v>3</v>
      </c>
      <c r="F100" s="142"/>
      <c r="G100" s="142"/>
      <c r="H100" s="142"/>
      <c r="I100" s="142"/>
      <c r="J100" s="25">
        <v>2017</v>
      </c>
      <c r="K100" s="48"/>
      <c r="L100" s="48"/>
      <c r="M100" s="48"/>
      <c r="N100" s="48"/>
      <c r="O100" s="26">
        <v>2018</v>
      </c>
      <c r="P100" s="48"/>
      <c r="Q100" s="48"/>
      <c r="R100" s="48"/>
      <c r="S100" s="48"/>
      <c r="T100" s="26">
        <v>2019</v>
      </c>
      <c r="U100" s="48"/>
      <c r="V100" s="48"/>
      <c r="W100" s="48"/>
      <c r="X100" s="48"/>
      <c r="Y100" s="26">
        <v>2020</v>
      </c>
      <c r="Z100" s="48"/>
      <c r="AA100" s="48"/>
      <c r="AB100" s="48"/>
      <c r="AC100" s="48"/>
      <c r="AD100" s="26">
        <v>2021</v>
      </c>
      <c r="AE100" s="5" t="s">
        <v>22</v>
      </c>
    </row>
    <row r="101" spans="1:31" ht="30.75" thickBot="1" x14ac:dyDescent="0.3">
      <c r="A101" s="235" t="s">
        <v>185</v>
      </c>
      <c r="C101" s="238" t="s">
        <v>110</v>
      </c>
      <c r="D101" s="7" t="s">
        <v>263</v>
      </c>
      <c r="E101" s="151" t="s">
        <v>280</v>
      </c>
      <c r="F101" s="152"/>
      <c r="G101" s="152"/>
      <c r="H101" s="147" t="s">
        <v>367</v>
      </c>
      <c r="I101" s="147" t="s">
        <v>367</v>
      </c>
      <c r="J101" s="169">
        <v>20000</v>
      </c>
      <c r="K101" s="153"/>
      <c r="L101" s="153"/>
      <c r="M101" s="147" t="s">
        <v>367</v>
      </c>
      <c r="N101" s="147" t="s">
        <v>367</v>
      </c>
      <c r="O101" s="172">
        <v>20000</v>
      </c>
      <c r="P101" s="153"/>
      <c r="Q101" s="153"/>
      <c r="R101" s="147" t="s">
        <v>367</v>
      </c>
      <c r="S101" s="147" t="s">
        <v>367</v>
      </c>
      <c r="T101" s="175">
        <v>20000</v>
      </c>
      <c r="U101" s="153"/>
      <c r="V101" s="153"/>
      <c r="W101" s="147" t="s">
        <v>367</v>
      </c>
      <c r="X101" s="147" t="s">
        <v>367</v>
      </c>
      <c r="Y101" s="175">
        <v>10000</v>
      </c>
      <c r="Z101" s="153"/>
      <c r="AA101" s="153"/>
      <c r="AB101" s="147" t="s">
        <v>367</v>
      </c>
      <c r="AC101" s="147" t="s">
        <v>367</v>
      </c>
      <c r="AD101" s="175">
        <v>0</v>
      </c>
      <c r="AE101" s="34" t="s">
        <v>171</v>
      </c>
    </row>
    <row r="102" spans="1:31" ht="30.75" thickBot="1" x14ac:dyDescent="0.3">
      <c r="A102" s="236"/>
      <c r="B102" s="109">
        <v>6.1</v>
      </c>
      <c r="C102" s="239"/>
      <c r="D102" s="7" t="s">
        <v>264</v>
      </c>
      <c r="E102" s="151" t="s">
        <v>281</v>
      </c>
      <c r="F102" s="147" t="s">
        <v>367</v>
      </c>
      <c r="G102" s="147" t="s">
        <v>367</v>
      </c>
      <c r="H102" s="147" t="s">
        <v>367</v>
      </c>
      <c r="I102" s="147" t="s">
        <v>367</v>
      </c>
      <c r="J102" s="169">
        <v>30000</v>
      </c>
      <c r="K102" s="147" t="s">
        <v>367</v>
      </c>
      <c r="L102" s="147" t="s">
        <v>367</v>
      </c>
      <c r="M102" s="147" t="s">
        <v>367</v>
      </c>
      <c r="N102" s="147" t="s">
        <v>367</v>
      </c>
      <c r="O102" s="172">
        <v>60000</v>
      </c>
      <c r="P102" s="147" t="s">
        <v>367</v>
      </c>
      <c r="Q102" s="147" t="s">
        <v>367</v>
      </c>
      <c r="R102" s="147" t="s">
        <v>367</v>
      </c>
      <c r="S102" s="147" t="s">
        <v>367</v>
      </c>
      <c r="T102" s="175">
        <v>90000</v>
      </c>
      <c r="U102" s="147" t="s">
        <v>367</v>
      </c>
      <c r="V102" s="147" t="s">
        <v>367</v>
      </c>
      <c r="W102" s="147" t="s">
        <v>367</v>
      </c>
      <c r="X102" s="147" t="s">
        <v>367</v>
      </c>
      <c r="Y102" s="175">
        <v>120000</v>
      </c>
      <c r="Z102" s="147" t="s">
        <v>367</v>
      </c>
      <c r="AA102" s="147" t="s">
        <v>367</v>
      </c>
      <c r="AB102" s="147" t="s">
        <v>367</v>
      </c>
      <c r="AC102" s="147" t="s">
        <v>367</v>
      </c>
      <c r="AD102" s="175">
        <v>150000</v>
      </c>
      <c r="AE102" s="34" t="s">
        <v>171</v>
      </c>
    </row>
    <row r="103" spans="1:31" ht="43.5" thickBot="1" x14ac:dyDescent="0.3">
      <c r="A103" s="236"/>
      <c r="C103" s="240"/>
      <c r="D103" s="6" t="s">
        <v>265</v>
      </c>
      <c r="E103" s="151" t="s">
        <v>282</v>
      </c>
      <c r="F103" s="152"/>
      <c r="G103" s="152"/>
      <c r="H103" s="152"/>
      <c r="I103" s="147" t="s">
        <v>367</v>
      </c>
      <c r="J103" s="169">
        <v>20000</v>
      </c>
      <c r="K103" s="153"/>
      <c r="L103" s="153"/>
      <c r="M103" s="147" t="s">
        <v>367</v>
      </c>
      <c r="N103" s="153"/>
      <c r="O103" s="172">
        <v>20000</v>
      </c>
      <c r="P103" s="153"/>
      <c r="Q103" s="153"/>
      <c r="R103" s="147" t="s">
        <v>367</v>
      </c>
      <c r="S103" s="153"/>
      <c r="T103" s="175">
        <v>20000</v>
      </c>
      <c r="U103" s="153"/>
      <c r="V103" s="153"/>
      <c r="W103" s="147" t="s">
        <v>367</v>
      </c>
      <c r="X103" s="153"/>
      <c r="Y103" s="175">
        <v>20000</v>
      </c>
      <c r="Z103" s="153"/>
      <c r="AA103" s="153"/>
      <c r="AB103" s="147" t="s">
        <v>367</v>
      </c>
      <c r="AC103" s="153"/>
      <c r="AD103" s="175">
        <v>20000</v>
      </c>
      <c r="AE103" s="34" t="s">
        <v>171</v>
      </c>
    </row>
    <row r="104" spans="1:31" ht="30.75" thickBot="1" x14ac:dyDescent="0.3">
      <c r="A104" s="105"/>
      <c r="C104" s="241" t="s">
        <v>111</v>
      </c>
      <c r="D104" s="6" t="s">
        <v>266</v>
      </c>
      <c r="E104" s="15" t="s">
        <v>295</v>
      </c>
      <c r="F104" s="147"/>
      <c r="G104" s="147"/>
      <c r="H104" s="147"/>
      <c r="I104" s="147" t="s">
        <v>367</v>
      </c>
      <c r="J104" s="169">
        <v>0</v>
      </c>
      <c r="K104" s="60"/>
      <c r="L104" s="60"/>
      <c r="M104" s="147" t="s">
        <v>367</v>
      </c>
      <c r="N104" s="60"/>
      <c r="O104" s="172">
        <v>120000</v>
      </c>
      <c r="P104" s="60"/>
      <c r="Q104" s="60"/>
      <c r="R104" s="147"/>
      <c r="S104" s="60"/>
      <c r="T104" s="175">
        <v>0</v>
      </c>
      <c r="U104" s="60"/>
      <c r="V104" s="60"/>
      <c r="W104" s="60"/>
      <c r="X104" s="60"/>
      <c r="Y104" s="175">
        <v>0</v>
      </c>
      <c r="Z104" s="60"/>
      <c r="AA104" s="60"/>
      <c r="AB104" s="60"/>
      <c r="AC104" s="60"/>
      <c r="AD104" s="175">
        <v>0</v>
      </c>
      <c r="AE104" s="34" t="s">
        <v>171</v>
      </c>
    </row>
    <row r="105" spans="1:31" ht="30.75" thickBot="1" x14ac:dyDescent="0.3">
      <c r="A105" s="294" t="s">
        <v>178</v>
      </c>
      <c r="B105" s="123"/>
      <c r="C105" s="239"/>
      <c r="D105" s="6" t="s">
        <v>267</v>
      </c>
      <c r="E105" s="15" t="s">
        <v>296</v>
      </c>
      <c r="F105" s="147"/>
      <c r="G105" s="147"/>
      <c r="H105" s="147" t="s">
        <v>367</v>
      </c>
      <c r="I105" s="147"/>
      <c r="J105" s="169">
        <v>69058.069333333522</v>
      </c>
      <c r="K105" s="147" t="s">
        <v>367</v>
      </c>
      <c r="L105" s="60"/>
      <c r="M105" s="60"/>
      <c r="N105" s="60"/>
      <c r="O105" s="172">
        <v>69058.069333333522</v>
      </c>
      <c r="P105" s="147" t="s">
        <v>367</v>
      </c>
      <c r="Q105" s="60"/>
      <c r="R105" s="60"/>
      <c r="S105" s="60"/>
      <c r="T105" s="175">
        <v>69058.069333333522</v>
      </c>
      <c r="U105" s="147" t="s">
        <v>367</v>
      </c>
      <c r="V105" s="60"/>
      <c r="W105" s="60"/>
      <c r="X105" s="60"/>
      <c r="Y105" s="175">
        <v>69058.069333333522</v>
      </c>
      <c r="Z105" s="147" t="s">
        <v>367</v>
      </c>
      <c r="AA105" s="60"/>
      <c r="AB105" s="60"/>
      <c r="AC105" s="60"/>
      <c r="AD105" s="175">
        <v>69058.069333333522</v>
      </c>
      <c r="AE105" s="34" t="s">
        <v>171</v>
      </c>
    </row>
    <row r="106" spans="1:31" ht="72" thickBot="1" x14ac:dyDescent="0.3">
      <c r="A106" s="236"/>
      <c r="B106" s="125"/>
      <c r="C106" s="239"/>
      <c r="D106" s="6" t="s">
        <v>268</v>
      </c>
      <c r="E106" s="15" t="s">
        <v>112</v>
      </c>
      <c r="F106" s="147"/>
      <c r="G106" s="147"/>
      <c r="H106" s="147"/>
      <c r="I106" s="147" t="s">
        <v>367</v>
      </c>
      <c r="J106" s="169">
        <v>20000</v>
      </c>
      <c r="K106" s="60"/>
      <c r="L106" s="60"/>
      <c r="M106" s="147" t="s">
        <v>367</v>
      </c>
      <c r="N106" s="60"/>
      <c r="O106" s="172">
        <v>20000</v>
      </c>
      <c r="P106" s="60"/>
      <c r="Q106" s="60"/>
      <c r="R106" s="147" t="s">
        <v>367</v>
      </c>
      <c r="S106" s="60"/>
      <c r="T106" s="175">
        <v>20000</v>
      </c>
      <c r="U106" s="60"/>
      <c r="V106" s="60"/>
      <c r="W106" s="147" t="s">
        <v>367</v>
      </c>
      <c r="X106" s="60"/>
      <c r="Y106" s="175">
        <v>20000</v>
      </c>
      <c r="Z106" s="60"/>
      <c r="AA106" s="60"/>
      <c r="AB106" s="147" t="s">
        <v>367</v>
      </c>
      <c r="AC106" s="60"/>
      <c r="AD106" s="175">
        <v>20000</v>
      </c>
      <c r="AE106" s="34" t="s">
        <v>171</v>
      </c>
    </row>
    <row r="107" spans="1:31" ht="43.5" thickBot="1" x14ac:dyDescent="0.3">
      <c r="A107" s="236"/>
      <c r="B107" s="125"/>
      <c r="C107" s="239"/>
      <c r="D107" s="6" t="s">
        <v>269</v>
      </c>
      <c r="E107" s="15" t="s">
        <v>297</v>
      </c>
      <c r="F107" s="147"/>
      <c r="G107" s="147" t="s">
        <v>367</v>
      </c>
      <c r="H107" s="147"/>
      <c r="I107" s="147"/>
      <c r="J107" s="169">
        <v>100000</v>
      </c>
      <c r="K107" s="60"/>
      <c r="L107" s="147" t="s">
        <v>367</v>
      </c>
      <c r="M107" s="60"/>
      <c r="N107" s="60"/>
      <c r="O107" s="172">
        <v>100000</v>
      </c>
      <c r="P107" s="60"/>
      <c r="Q107" s="147" t="s">
        <v>367</v>
      </c>
      <c r="R107" s="60"/>
      <c r="S107" s="60"/>
      <c r="T107" s="175">
        <v>100000</v>
      </c>
      <c r="U107" s="60"/>
      <c r="V107" s="147" t="s">
        <v>367</v>
      </c>
      <c r="W107" s="60"/>
      <c r="X107" s="60"/>
      <c r="Y107" s="175">
        <v>100000</v>
      </c>
      <c r="Z107" s="60"/>
      <c r="AA107" s="147" t="s">
        <v>367</v>
      </c>
      <c r="AB107" s="60"/>
      <c r="AC107" s="60"/>
      <c r="AD107" s="175">
        <v>100000</v>
      </c>
      <c r="AE107" s="34" t="s">
        <v>171</v>
      </c>
    </row>
    <row r="108" spans="1:31" ht="43.5" thickBot="1" x14ac:dyDescent="0.3">
      <c r="A108" s="236"/>
      <c r="B108" s="125"/>
      <c r="C108" s="239"/>
      <c r="D108" s="6" t="s">
        <v>270</v>
      </c>
      <c r="E108" s="15" t="s">
        <v>113</v>
      </c>
      <c r="F108" s="147" t="s">
        <v>367</v>
      </c>
      <c r="G108" s="147" t="s">
        <v>367</v>
      </c>
      <c r="H108" s="147" t="s">
        <v>367</v>
      </c>
      <c r="I108" s="147" t="s">
        <v>367</v>
      </c>
      <c r="J108" s="169">
        <v>50000</v>
      </c>
      <c r="K108" s="147" t="s">
        <v>367</v>
      </c>
      <c r="L108" s="147" t="s">
        <v>367</v>
      </c>
      <c r="M108" s="147" t="s">
        <v>367</v>
      </c>
      <c r="N108" s="147" t="s">
        <v>367</v>
      </c>
      <c r="O108" s="172">
        <v>50000</v>
      </c>
      <c r="P108" s="147" t="s">
        <v>367</v>
      </c>
      <c r="Q108" s="147" t="s">
        <v>367</v>
      </c>
      <c r="R108" s="147" t="s">
        <v>367</v>
      </c>
      <c r="S108" s="147" t="s">
        <v>367</v>
      </c>
      <c r="T108" s="175">
        <v>50000</v>
      </c>
      <c r="U108" s="147" t="s">
        <v>367</v>
      </c>
      <c r="V108" s="147" t="s">
        <v>367</v>
      </c>
      <c r="W108" s="147" t="s">
        <v>367</v>
      </c>
      <c r="X108" s="147" t="s">
        <v>367</v>
      </c>
      <c r="Y108" s="175">
        <v>50000</v>
      </c>
      <c r="Z108" s="147" t="s">
        <v>367</v>
      </c>
      <c r="AA108" s="147" t="s">
        <v>367</v>
      </c>
      <c r="AB108" s="147" t="s">
        <v>367</v>
      </c>
      <c r="AC108" s="147" t="s">
        <v>367</v>
      </c>
      <c r="AD108" s="175">
        <v>50000</v>
      </c>
      <c r="AE108" s="34" t="s">
        <v>171</v>
      </c>
    </row>
    <row r="109" spans="1:31" ht="43.5" thickBot="1" x14ac:dyDescent="0.3">
      <c r="A109" s="236"/>
      <c r="B109" s="121">
        <v>6.2</v>
      </c>
      <c r="C109" s="239"/>
      <c r="D109" s="6" t="s">
        <v>271</v>
      </c>
      <c r="E109" s="15" t="s">
        <v>114</v>
      </c>
      <c r="F109" s="147"/>
      <c r="G109" s="147"/>
      <c r="H109" s="147" t="s">
        <v>367</v>
      </c>
      <c r="I109" s="147" t="s">
        <v>367</v>
      </c>
      <c r="J109" s="169">
        <v>90000</v>
      </c>
      <c r="K109" s="147" t="s">
        <v>367</v>
      </c>
      <c r="L109" s="147" t="s">
        <v>367</v>
      </c>
      <c r="M109" s="60"/>
      <c r="N109" s="60"/>
      <c r="O109" s="172">
        <v>90000</v>
      </c>
      <c r="P109" s="147" t="s">
        <v>367</v>
      </c>
      <c r="Q109" s="147" t="s">
        <v>367</v>
      </c>
      <c r="R109" s="60"/>
      <c r="S109" s="60"/>
      <c r="T109" s="175">
        <v>0</v>
      </c>
      <c r="U109" s="147"/>
      <c r="V109" s="147" t="s">
        <v>367</v>
      </c>
      <c r="W109" s="60"/>
      <c r="X109" s="60"/>
      <c r="Y109" s="175">
        <v>0</v>
      </c>
      <c r="Z109" s="60"/>
      <c r="AA109" s="60"/>
      <c r="AB109" s="60"/>
      <c r="AC109" s="60"/>
      <c r="AD109" s="175">
        <v>0</v>
      </c>
      <c r="AE109" s="34" t="s">
        <v>171</v>
      </c>
    </row>
    <row r="110" spans="1:31" ht="30.75" thickBot="1" x14ac:dyDescent="0.3">
      <c r="A110" s="236"/>
      <c r="B110" s="125"/>
      <c r="C110" s="239"/>
      <c r="D110" s="6" t="s">
        <v>272</v>
      </c>
      <c r="E110" s="15" t="s">
        <v>381</v>
      </c>
      <c r="F110" s="147"/>
      <c r="G110" s="147"/>
      <c r="H110" s="147"/>
      <c r="I110" s="147"/>
      <c r="J110" s="169">
        <v>0</v>
      </c>
      <c r="K110" s="60"/>
      <c r="L110" s="60"/>
      <c r="M110" s="147" t="s">
        <v>367</v>
      </c>
      <c r="N110" s="147" t="s">
        <v>367</v>
      </c>
      <c r="O110" s="172">
        <v>150000</v>
      </c>
      <c r="P110" s="147" t="s">
        <v>367</v>
      </c>
      <c r="Q110" s="147" t="s">
        <v>367</v>
      </c>
      <c r="R110" s="60"/>
      <c r="S110" s="60"/>
      <c r="T110" s="175">
        <v>160000</v>
      </c>
      <c r="U110" s="60"/>
      <c r="V110" s="60"/>
      <c r="W110" s="60"/>
      <c r="X110" s="60"/>
      <c r="Y110" s="175">
        <v>0</v>
      </c>
      <c r="Z110" s="60"/>
      <c r="AA110" s="60"/>
      <c r="AB110" s="60"/>
      <c r="AC110" s="60"/>
      <c r="AD110" s="175">
        <v>0</v>
      </c>
      <c r="AE110" s="34" t="s">
        <v>171</v>
      </c>
    </row>
    <row r="111" spans="1:31" ht="42.75" x14ac:dyDescent="0.25">
      <c r="A111" s="236"/>
      <c r="B111" s="136"/>
      <c r="C111" s="239"/>
      <c r="D111" s="8" t="s">
        <v>273</v>
      </c>
      <c r="E111" s="72" t="s">
        <v>380</v>
      </c>
      <c r="F111" s="148"/>
      <c r="G111" s="148"/>
      <c r="H111" s="148"/>
      <c r="I111" s="148"/>
      <c r="J111" s="169">
        <v>0</v>
      </c>
      <c r="K111" s="60"/>
      <c r="L111" s="60"/>
      <c r="M111" s="60"/>
      <c r="N111" s="60"/>
      <c r="O111" s="172">
        <v>120000</v>
      </c>
      <c r="P111" s="60"/>
      <c r="Q111" s="60"/>
      <c r="R111" s="60"/>
      <c r="S111" s="60"/>
      <c r="T111" s="175">
        <v>0</v>
      </c>
      <c r="U111" s="60"/>
      <c r="V111" s="60"/>
      <c r="W111" s="60"/>
      <c r="X111" s="60"/>
      <c r="Y111" s="175">
        <v>0</v>
      </c>
      <c r="Z111" s="60"/>
      <c r="AA111" s="60"/>
      <c r="AB111" s="60"/>
      <c r="AC111" s="60"/>
      <c r="AD111" s="175">
        <v>0</v>
      </c>
      <c r="AE111" s="34" t="s">
        <v>171</v>
      </c>
    </row>
    <row r="112" spans="1:31" ht="30" x14ac:dyDescent="0.25">
      <c r="A112" s="315" t="s">
        <v>179</v>
      </c>
      <c r="B112" s="178"/>
      <c r="C112" s="316" t="s">
        <v>115</v>
      </c>
      <c r="D112" s="60" t="s">
        <v>274</v>
      </c>
      <c r="E112" s="60" t="s">
        <v>379</v>
      </c>
      <c r="F112" s="147"/>
      <c r="G112" s="147"/>
      <c r="H112" s="147"/>
      <c r="I112" s="147"/>
      <c r="J112" s="170">
        <v>1182941.9306666665</v>
      </c>
      <c r="K112" s="60"/>
      <c r="L112" s="60"/>
      <c r="M112" s="147" t="s">
        <v>367</v>
      </c>
      <c r="N112" s="147" t="s">
        <v>367</v>
      </c>
      <c r="O112" s="173">
        <v>1682941.9306666667</v>
      </c>
      <c r="P112" s="60"/>
      <c r="Q112" s="60"/>
      <c r="R112" s="60"/>
      <c r="S112" s="60"/>
      <c r="T112" s="176">
        <v>2182941.9306666669</v>
      </c>
      <c r="U112" s="60"/>
      <c r="V112" s="60"/>
      <c r="W112" s="60"/>
      <c r="X112" s="60"/>
      <c r="Y112" s="176">
        <v>2682941.9306666669</v>
      </c>
      <c r="Z112" s="60"/>
      <c r="AA112" s="60"/>
      <c r="AB112" s="60"/>
      <c r="AC112" s="60"/>
      <c r="AD112" s="176">
        <v>3182941.9306666669</v>
      </c>
      <c r="AE112" s="34" t="s">
        <v>171</v>
      </c>
    </row>
    <row r="113" spans="1:31" ht="42.75" x14ac:dyDescent="0.25">
      <c r="A113" s="315"/>
      <c r="B113" s="159">
        <v>6.3</v>
      </c>
      <c r="C113" s="316"/>
      <c r="D113" s="60" t="s">
        <v>275</v>
      </c>
      <c r="E113" s="60" t="s">
        <v>377</v>
      </c>
      <c r="F113" s="147"/>
      <c r="G113" s="147"/>
      <c r="H113" s="147"/>
      <c r="I113" s="147"/>
      <c r="J113" s="170"/>
      <c r="K113" s="60"/>
      <c r="L113" s="60"/>
      <c r="M113" s="60"/>
      <c r="N113" s="60"/>
      <c r="O113" s="173">
        <v>50000</v>
      </c>
      <c r="P113" s="60"/>
      <c r="Q113" s="60"/>
      <c r="R113" s="60"/>
      <c r="S113" s="60"/>
      <c r="T113" s="232"/>
      <c r="U113" s="233"/>
      <c r="V113" s="233"/>
      <c r="W113" s="233"/>
      <c r="X113" s="233"/>
      <c r="Y113" s="232"/>
      <c r="Z113" s="233"/>
      <c r="AA113" s="233"/>
      <c r="AB113" s="233"/>
      <c r="AC113" s="233"/>
      <c r="AD113" s="232"/>
      <c r="AE113" s="34" t="s">
        <v>171</v>
      </c>
    </row>
    <row r="114" spans="1:31" ht="30.75" thickBot="1" x14ac:dyDescent="0.3">
      <c r="A114" s="315"/>
      <c r="B114" s="157"/>
      <c r="C114" s="316"/>
      <c r="D114" s="60" t="s">
        <v>276</v>
      </c>
      <c r="E114" s="60" t="s">
        <v>378</v>
      </c>
      <c r="F114" s="147"/>
      <c r="G114" s="147"/>
      <c r="H114" s="147"/>
      <c r="I114" s="148"/>
      <c r="J114" s="169">
        <v>0</v>
      </c>
      <c r="K114" s="60"/>
      <c r="L114" s="60"/>
      <c r="M114" s="60"/>
      <c r="N114" s="60"/>
      <c r="O114" s="169">
        <v>0</v>
      </c>
      <c r="P114" s="60"/>
      <c r="Q114" s="60"/>
      <c r="R114" s="60"/>
      <c r="S114" s="60"/>
      <c r="T114" s="169">
        <v>0</v>
      </c>
      <c r="U114" s="60"/>
      <c r="V114" s="60"/>
      <c r="W114" s="60"/>
      <c r="X114" s="60"/>
      <c r="Y114" s="169">
        <v>0</v>
      </c>
      <c r="Z114" s="60"/>
      <c r="AA114" s="60"/>
      <c r="AB114" s="60"/>
      <c r="AC114" s="60"/>
      <c r="AD114" s="169">
        <v>0</v>
      </c>
      <c r="AE114" s="34" t="s">
        <v>171</v>
      </c>
    </row>
    <row r="115" spans="1:31" s="205" customFormat="1" ht="21" x14ac:dyDescent="0.35">
      <c r="A115" s="206"/>
      <c r="B115" s="201"/>
      <c r="C115" s="201"/>
      <c r="D115" s="202"/>
      <c r="E115" s="202"/>
      <c r="F115" s="203"/>
      <c r="G115" s="203"/>
      <c r="H115" s="203"/>
      <c r="I115" s="203"/>
      <c r="J115" s="207">
        <f>SUM(J101:J114)</f>
        <v>1582000</v>
      </c>
      <c r="K115" s="202"/>
      <c r="L115" s="202"/>
      <c r="M115" s="202"/>
      <c r="N115" s="202"/>
      <c r="O115" s="207">
        <f t="shared" ref="O115:AD115" si="5">SUM(O101:O114)</f>
        <v>2552000</v>
      </c>
      <c r="P115" s="202"/>
      <c r="Q115" s="202"/>
      <c r="R115" s="202"/>
      <c r="S115" s="202"/>
      <c r="T115" s="207">
        <f t="shared" si="5"/>
        <v>2712000.0000000005</v>
      </c>
      <c r="U115" s="202"/>
      <c r="V115" s="202"/>
      <c r="W115" s="202"/>
      <c r="X115" s="202"/>
      <c r="Y115" s="207">
        <f t="shared" si="5"/>
        <v>3072000.0000000005</v>
      </c>
      <c r="Z115" s="202"/>
      <c r="AA115" s="202"/>
      <c r="AB115" s="202"/>
      <c r="AC115" s="202"/>
      <c r="AD115" s="207">
        <f t="shared" si="5"/>
        <v>3592000.0000000005</v>
      </c>
      <c r="AE115" s="208">
        <f>SUM(J115:AD115)</f>
        <v>13510000</v>
      </c>
    </row>
    <row r="116" spans="1:31" ht="18.75" x14ac:dyDescent="0.3">
      <c r="A116" s="217" t="s">
        <v>376</v>
      </c>
    </row>
    <row r="117" spans="1:31" ht="30.75" thickBot="1" x14ac:dyDescent="0.3">
      <c r="A117" s="47" t="s">
        <v>16</v>
      </c>
      <c r="B117" s="24" t="s">
        <v>17</v>
      </c>
      <c r="C117" s="24" t="s">
        <v>1</v>
      </c>
      <c r="D117" s="24" t="s">
        <v>2</v>
      </c>
      <c r="E117" s="24" t="s">
        <v>3</v>
      </c>
      <c r="F117" s="142"/>
      <c r="G117" s="142"/>
      <c r="H117" s="142"/>
      <c r="I117" s="142"/>
      <c r="J117" s="218">
        <v>2017</v>
      </c>
      <c r="K117" s="48"/>
      <c r="L117" s="48"/>
      <c r="M117" s="48"/>
      <c r="N117" s="48"/>
      <c r="O117" s="26">
        <v>2018</v>
      </c>
      <c r="P117" s="48"/>
      <c r="Q117" s="48"/>
      <c r="R117" s="48"/>
      <c r="S117" s="48"/>
      <c r="T117" s="26">
        <v>2019</v>
      </c>
      <c r="U117" s="48"/>
      <c r="V117" s="48"/>
      <c r="W117" s="48"/>
      <c r="X117" s="48"/>
      <c r="Y117" s="180">
        <v>2020</v>
      </c>
      <c r="Z117" s="182"/>
      <c r="AA117" s="182"/>
      <c r="AB117" s="182"/>
      <c r="AC117" s="182"/>
      <c r="AD117" s="181">
        <v>2021</v>
      </c>
      <c r="AE117" s="5" t="s">
        <v>22</v>
      </c>
    </row>
    <row r="118" spans="1:31" ht="60.75" thickBot="1" x14ac:dyDescent="0.3">
      <c r="A118" s="235" t="s">
        <v>116</v>
      </c>
      <c r="B118" s="87"/>
      <c r="C118" s="127" t="s">
        <v>117</v>
      </c>
      <c r="D118" s="18" t="s">
        <v>318</v>
      </c>
      <c r="E118" s="15" t="s">
        <v>303</v>
      </c>
      <c r="F118" s="147"/>
      <c r="G118" s="147"/>
      <c r="H118" s="147"/>
      <c r="I118" s="147"/>
      <c r="J118" s="185">
        <v>0</v>
      </c>
      <c r="K118" s="60"/>
      <c r="L118" s="60"/>
      <c r="M118" s="147" t="s">
        <v>367</v>
      </c>
      <c r="N118" s="147" t="s">
        <v>367</v>
      </c>
      <c r="O118" s="185">
        <v>200000</v>
      </c>
      <c r="P118" s="60"/>
      <c r="Q118" s="60"/>
      <c r="R118" s="147" t="s">
        <v>367</v>
      </c>
      <c r="S118" s="147" t="s">
        <v>367</v>
      </c>
      <c r="T118" s="188">
        <v>300000</v>
      </c>
      <c r="U118" s="60"/>
      <c r="V118" s="60"/>
      <c r="W118" s="147" t="s">
        <v>367</v>
      </c>
      <c r="X118" s="147" t="s">
        <v>367</v>
      </c>
      <c r="Y118" s="188">
        <v>250000</v>
      </c>
      <c r="Z118" s="60"/>
      <c r="AA118" s="60"/>
      <c r="AB118" s="147" t="s">
        <v>367</v>
      </c>
      <c r="AC118" s="147" t="s">
        <v>367</v>
      </c>
      <c r="AD118" s="191">
        <v>250000</v>
      </c>
      <c r="AE118" s="34" t="s">
        <v>171</v>
      </c>
    </row>
    <row r="119" spans="1:31" ht="60.75" thickBot="1" x14ac:dyDescent="0.3">
      <c r="A119" s="236"/>
      <c r="B119" s="125"/>
      <c r="C119" s="127" t="s">
        <v>118</v>
      </c>
      <c r="D119" s="18" t="s">
        <v>319</v>
      </c>
      <c r="E119" s="15" t="s">
        <v>304</v>
      </c>
      <c r="F119" s="147"/>
      <c r="G119" s="147"/>
      <c r="H119" s="147"/>
      <c r="I119" s="147"/>
      <c r="J119" s="185">
        <v>0</v>
      </c>
      <c r="K119" s="60"/>
      <c r="L119" s="60"/>
      <c r="M119" s="147" t="s">
        <v>367</v>
      </c>
      <c r="N119" s="147" t="s">
        <v>367</v>
      </c>
      <c r="O119" s="185">
        <v>100000</v>
      </c>
      <c r="P119" s="60"/>
      <c r="Q119" s="60"/>
      <c r="R119" s="147" t="s">
        <v>367</v>
      </c>
      <c r="S119" s="147" t="s">
        <v>367</v>
      </c>
      <c r="T119" s="188">
        <v>50000</v>
      </c>
      <c r="U119" s="60"/>
      <c r="V119" s="60"/>
      <c r="W119" s="147" t="s">
        <v>367</v>
      </c>
      <c r="X119" s="147" t="s">
        <v>367</v>
      </c>
      <c r="Y119" s="188">
        <v>50000</v>
      </c>
      <c r="Z119" s="60"/>
      <c r="AA119" s="60"/>
      <c r="AB119" s="60"/>
      <c r="AC119" s="60"/>
      <c r="AD119" s="191">
        <v>0</v>
      </c>
      <c r="AE119" s="34" t="s">
        <v>171</v>
      </c>
    </row>
    <row r="120" spans="1:31" ht="57.75" thickBot="1" x14ac:dyDescent="0.3">
      <c r="A120" s="236"/>
      <c r="B120" s="125"/>
      <c r="C120" s="278" t="s">
        <v>119</v>
      </c>
      <c r="D120" s="18" t="s">
        <v>320</v>
      </c>
      <c r="E120" s="15" t="s">
        <v>120</v>
      </c>
      <c r="F120" s="147"/>
      <c r="G120" s="147"/>
      <c r="H120" s="147"/>
      <c r="I120" s="147"/>
      <c r="J120" s="185">
        <v>0</v>
      </c>
      <c r="K120" s="60"/>
      <c r="L120" s="60"/>
      <c r="M120" s="60"/>
      <c r="N120" s="60"/>
      <c r="O120" s="185">
        <f>3*10000</f>
        <v>30000</v>
      </c>
      <c r="P120" s="60"/>
      <c r="Q120" s="60"/>
      <c r="R120" s="60"/>
      <c r="S120" s="60"/>
      <c r="T120" s="188">
        <v>0</v>
      </c>
      <c r="U120" s="60"/>
      <c r="V120" s="60"/>
      <c r="W120" s="60"/>
      <c r="X120" s="60"/>
      <c r="Y120" s="188">
        <f>3*10000</f>
        <v>30000</v>
      </c>
      <c r="Z120" s="60"/>
      <c r="AA120" s="60"/>
      <c r="AB120" s="60"/>
      <c r="AC120" s="60"/>
      <c r="AD120" s="191">
        <v>0</v>
      </c>
      <c r="AE120" s="34" t="s">
        <v>171</v>
      </c>
    </row>
    <row r="121" spans="1:31" ht="30.75" thickBot="1" x14ac:dyDescent="0.3">
      <c r="A121" s="236"/>
      <c r="B121" s="125"/>
      <c r="C121" s="279"/>
      <c r="D121" s="18" t="s">
        <v>321</v>
      </c>
      <c r="E121" s="151" t="s">
        <v>305</v>
      </c>
      <c r="F121" s="152"/>
      <c r="G121" s="152"/>
      <c r="H121" s="152"/>
      <c r="I121" s="152"/>
      <c r="J121" s="185">
        <v>0</v>
      </c>
      <c r="K121" s="153"/>
      <c r="L121" s="153"/>
      <c r="M121" s="153"/>
      <c r="N121" s="153"/>
      <c r="O121" s="185">
        <v>0</v>
      </c>
      <c r="P121" s="147" t="s">
        <v>367</v>
      </c>
      <c r="Q121" s="147" t="s">
        <v>367</v>
      </c>
      <c r="R121" s="153"/>
      <c r="S121" s="153"/>
      <c r="T121" s="188">
        <f>3*50000</f>
        <v>150000</v>
      </c>
      <c r="U121" s="147" t="s">
        <v>367</v>
      </c>
      <c r="V121" s="147" t="s">
        <v>367</v>
      </c>
      <c r="W121" s="153"/>
      <c r="X121" s="153"/>
      <c r="Y121" s="188">
        <f>2*50000</f>
        <v>100000</v>
      </c>
      <c r="Z121" s="153"/>
      <c r="AA121" s="153"/>
      <c r="AB121" s="147" t="s">
        <v>367</v>
      </c>
      <c r="AC121" s="147" t="s">
        <v>367</v>
      </c>
      <c r="AD121" s="191">
        <f>2*50000</f>
        <v>100000</v>
      </c>
      <c r="AE121" s="34" t="s">
        <v>171</v>
      </c>
    </row>
    <row r="122" spans="1:31" ht="57.75" thickBot="1" x14ac:dyDescent="0.3">
      <c r="A122" s="236"/>
      <c r="B122" s="121">
        <v>7.1</v>
      </c>
      <c r="C122" s="279"/>
      <c r="D122" s="18" t="s">
        <v>322</v>
      </c>
      <c r="E122" s="151" t="s">
        <v>306</v>
      </c>
      <c r="F122" s="152"/>
      <c r="G122" s="152"/>
      <c r="H122" s="152"/>
      <c r="I122" s="152"/>
      <c r="J122" s="185">
        <v>0</v>
      </c>
      <c r="K122" s="153"/>
      <c r="L122" s="153"/>
      <c r="M122" s="153"/>
      <c r="N122" s="147" t="s">
        <v>367</v>
      </c>
      <c r="O122" s="185">
        <v>294000</v>
      </c>
      <c r="P122" s="147" t="s">
        <v>367</v>
      </c>
      <c r="Q122" s="153"/>
      <c r="R122" s="153"/>
      <c r="S122" s="153"/>
      <c r="T122" s="188">
        <v>294000</v>
      </c>
      <c r="U122" s="153"/>
      <c r="V122" s="153"/>
      <c r="W122" s="153"/>
      <c r="X122" s="153"/>
      <c r="Y122" s="188">
        <v>0</v>
      </c>
      <c r="Z122" s="153"/>
      <c r="AA122" s="153"/>
      <c r="AB122" s="153"/>
      <c r="AC122" s="153"/>
      <c r="AD122" s="191">
        <v>0</v>
      </c>
      <c r="AE122" s="34" t="s">
        <v>171</v>
      </c>
    </row>
    <row r="123" spans="1:31" ht="72" thickBot="1" x14ac:dyDescent="0.3">
      <c r="A123" s="236"/>
      <c r="B123" s="125"/>
      <c r="C123" s="279"/>
      <c r="D123" s="18" t="s">
        <v>323</v>
      </c>
      <c r="E123" s="151" t="s">
        <v>307</v>
      </c>
      <c r="F123" s="152"/>
      <c r="G123" s="152"/>
      <c r="H123" s="152"/>
      <c r="I123" s="152"/>
      <c r="J123" s="185">
        <v>0</v>
      </c>
      <c r="K123" s="153"/>
      <c r="L123" s="147" t="s">
        <v>367</v>
      </c>
      <c r="M123" s="153"/>
      <c r="N123" s="153"/>
      <c r="O123" s="185">
        <f>3500*13.5*8</f>
        <v>378000</v>
      </c>
      <c r="P123" s="153"/>
      <c r="Q123" s="153"/>
      <c r="R123" s="147" t="s">
        <v>367</v>
      </c>
      <c r="S123" s="153"/>
      <c r="T123" s="188">
        <f>3500*13.5*8</f>
        <v>378000</v>
      </c>
      <c r="U123" s="153"/>
      <c r="V123" s="153"/>
      <c r="W123" s="153"/>
      <c r="X123" s="153"/>
      <c r="Y123" s="188">
        <v>0</v>
      </c>
      <c r="Z123" s="153"/>
      <c r="AA123" s="153"/>
      <c r="AB123" s="153"/>
      <c r="AC123" s="153"/>
      <c r="AD123" s="191">
        <v>0</v>
      </c>
      <c r="AE123" s="34" t="s">
        <v>171</v>
      </c>
    </row>
    <row r="124" spans="1:31" ht="30.75" thickBot="1" x14ac:dyDescent="0.3">
      <c r="A124" s="236"/>
      <c r="B124" s="124"/>
      <c r="C124" s="280"/>
      <c r="D124" s="6" t="s">
        <v>121</v>
      </c>
      <c r="E124" s="151" t="s">
        <v>308</v>
      </c>
      <c r="F124" s="152"/>
      <c r="G124" s="152"/>
      <c r="H124" s="152"/>
      <c r="I124" s="152"/>
      <c r="J124" s="185">
        <v>0</v>
      </c>
      <c r="K124" s="153"/>
      <c r="L124" s="147" t="s">
        <v>367</v>
      </c>
      <c r="M124" s="147" t="s">
        <v>367</v>
      </c>
      <c r="N124" s="153"/>
      <c r="O124" s="185">
        <v>15000</v>
      </c>
      <c r="P124" s="153"/>
      <c r="Q124" s="147" t="s">
        <v>367</v>
      </c>
      <c r="R124" s="147" t="s">
        <v>367</v>
      </c>
      <c r="S124" s="153"/>
      <c r="T124" s="188">
        <v>15000</v>
      </c>
      <c r="U124" s="153"/>
      <c r="V124" s="147" t="s">
        <v>367</v>
      </c>
      <c r="W124" s="147" t="s">
        <v>367</v>
      </c>
      <c r="X124" s="153"/>
      <c r="Y124" s="188">
        <v>15000</v>
      </c>
      <c r="Z124" s="153"/>
      <c r="AA124" s="147" t="s">
        <v>367</v>
      </c>
      <c r="AB124" s="147" t="s">
        <v>367</v>
      </c>
      <c r="AC124" s="153"/>
      <c r="AD124" s="191">
        <v>15000</v>
      </c>
      <c r="AE124" s="34" t="s">
        <v>171</v>
      </c>
    </row>
    <row r="125" spans="1:31" ht="30.75" thickBot="1" x14ac:dyDescent="0.3">
      <c r="A125" s="237"/>
      <c r="B125" s="124"/>
      <c r="C125" s="127"/>
      <c r="D125" s="44" t="s">
        <v>324</v>
      </c>
      <c r="E125" s="151"/>
      <c r="F125" s="147" t="s">
        <v>367</v>
      </c>
      <c r="G125" s="147" t="s">
        <v>367</v>
      </c>
      <c r="H125" s="147" t="s">
        <v>367</v>
      </c>
      <c r="I125" s="147" t="s">
        <v>367</v>
      </c>
      <c r="J125" s="185">
        <v>286133.33333333331</v>
      </c>
      <c r="K125" s="147" t="s">
        <v>367</v>
      </c>
      <c r="L125" s="147" t="s">
        <v>367</v>
      </c>
      <c r="M125" s="147" t="s">
        <v>367</v>
      </c>
      <c r="N125" s="147" t="s">
        <v>367</v>
      </c>
      <c r="O125" s="185">
        <v>344689.71849755262</v>
      </c>
      <c r="P125" s="147" t="s">
        <v>367</v>
      </c>
      <c r="Q125" s="147" t="s">
        <v>367</v>
      </c>
      <c r="R125" s="147" t="s">
        <v>367</v>
      </c>
      <c r="S125" s="147" t="s">
        <v>367</v>
      </c>
      <c r="T125" s="188">
        <v>403246.10366177192</v>
      </c>
      <c r="U125" s="147" t="s">
        <v>367</v>
      </c>
      <c r="V125" s="147" t="s">
        <v>367</v>
      </c>
      <c r="W125" s="147" t="s">
        <v>367</v>
      </c>
      <c r="X125" s="147" t="s">
        <v>367</v>
      </c>
      <c r="Y125" s="188">
        <v>461802.48882599123</v>
      </c>
      <c r="Z125" s="147" t="s">
        <v>367</v>
      </c>
      <c r="AA125" s="147" t="s">
        <v>367</v>
      </c>
      <c r="AB125" s="147" t="s">
        <v>367</v>
      </c>
      <c r="AC125" s="147" t="s">
        <v>367</v>
      </c>
      <c r="AD125" s="191">
        <v>520358.87399021053</v>
      </c>
      <c r="AE125" s="34" t="s">
        <v>171</v>
      </c>
    </row>
    <row r="126" spans="1:31" ht="31.5" customHeight="1" thickBot="1" x14ac:dyDescent="0.3">
      <c r="A126" s="235" t="s">
        <v>181</v>
      </c>
      <c r="B126" s="235">
        <v>7.2</v>
      </c>
      <c r="C126" s="127"/>
      <c r="D126" s="44" t="s">
        <v>325</v>
      </c>
      <c r="E126" s="151"/>
      <c r="F126" s="147" t="s">
        <v>367</v>
      </c>
      <c r="G126" s="147" t="s">
        <v>367</v>
      </c>
      <c r="H126" s="147" t="s">
        <v>367</v>
      </c>
      <c r="I126" s="147" t="s">
        <v>367</v>
      </c>
      <c r="J126" s="185">
        <v>4612738.546666665</v>
      </c>
      <c r="K126" s="147" t="s">
        <v>367</v>
      </c>
      <c r="L126" s="147" t="s">
        <v>367</v>
      </c>
      <c r="M126" s="147" t="s">
        <v>367</v>
      </c>
      <c r="N126" s="147" t="s">
        <v>367</v>
      </c>
      <c r="O126" s="185">
        <v>5556722.5692684399</v>
      </c>
      <c r="P126" s="147" t="s">
        <v>367</v>
      </c>
      <c r="Q126" s="147" t="s">
        <v>367</v>
      </c>
      <c r="R126" s="147" t="s">
        <v>367</v>
      </c>
      <c r="S126" s="147" t="s">
        <v>367</v>
      </c>
      <c r="T126" s="188">
        <v>6500706.5918702148</v>
      </c>
      <c r="U126" s="147" t="s">
        <v>367</v>
      </c>
      <c r="V126" s="147" t="s">
        <v>367</v>
      </c>
      <c r="W126" s="147" t="s">
        <v>367</v>
      </c>
      <c r="X126" s="147" t="s">
        <v>367</v>
      </c>
      <c r="Y126" s="188">
        <v>7444690.6144719897</v>
      </c>
      <c r="Z126" s="147" t="s">
        <v>367</v>
      </c>
      <c r="AA126" s="147" t="s">
        <v>367</v>
      </c>
      <c r="AB126" s="147" t="s">
        <v>367</v>
      </c>
      <c r="AC126" s="147" t="s">
        <v>367</v>
      </c>
      <c r="AD126" s="191">
        <v>8388674.6370737646</v>
      </c>
      <c r="AE126" s="34" t="s">
        <v>171</v>
      </c>
    </row>
    <row r="127" spans="1:31" ht="31.5" customHeight="1" thickBot="1" x14ac:dyDescent="0.3">
      <c r="A127" s="236"/>
      <c r="B127" s="236"/>
      <c r="C127" s="238" t="s">
        <v>122</v>
      </c>
      <c r="D127" s="18" t="s">
        <v>326</v>
      </c>
      <c r="E127" s="15" t="s">
        <v>309</v>
      </c>
      <c r="F127" s="147"/>
      <c r="G127" s="147"/>
      <c r="H127" s="147"/>
      <c r="I127" s="147"/>
      <c r="J127" s="185">
        <v>0</v>
      </c>
      <c r="K127" s="60"/>
      <c r="L127" s="147" t="s">
        <v>367</v>
      </c>
      <c r="M127" s="147" t="s">
        <v>367</v>
      </c>
      <c r="N127" s="60"/>
      <c r="O127" s="185">
        <v>400000</v>
      </c>
      <c r="P127" s="147" t="s">
        <v>367</v>
      </c>
      <c r="Q127" s="147" t="s">
        <v>367</v>
      </c>
      <c r="R127" s="60"/>
      <c r="S127" s="60"/>
      <c r="T127" s="188">
        <v>25000</v>
      </c>
      <c r="U127" s="60"/>
      <c r="V127" s="60"/>
      <c r="W127" s="147" t="s">
        <v>367</v>
      </c>
      <c r="X127" s="147" t="s">
        <v>367</v>
      </c>
      <c r="Y127" s="188">
        <v>25000</v>
      </c>
      <c r="Z127" s="147" t="s">
        <v>367</v>
      </c>
      <c r="AA127" s="147" t="s">
        <v>367</v>
      </c>
      <c r="AB127" s="60"/>
      <c r="AC127" s="60"/>
      <c r="AD127" s="191">
        <v>25000</v>
      </c>
      <c r="AE127" s="34" t="s">
        <v>171</v>
      </c>
    </row>
    <row r="128" spans="1:31" ht="43.5" thickBot="1" x14ac:dyDescent="0.3">
      <c r="A128" s="236"/>
      <c r="B128" s="236"/>
      <c r="C128" s="260"/>
      <c r="D128" s="18" t="s">
        <v>327</v>
      </c>
      <c r="E128" s="15" t="s">
        <v>310</v>
      </c>
      <c r="F128" s="147"/>
      <c r="G128" s="147"/>
      <c r="H128" s="147"/>
      <c r="I128" s="147"/>
      <c r="J128" s="185">
        <v>0</v>
      </c>
      <c r="K128" s="60"/>
      <c r="L128" s="60"/>
      <c r="M128" s="147" t="s">
        <v>367</v>
      </c>
      <c r="N128" s="147" t="s">
        <v>367</v>
      </c>
      <c r="O128" s="185">
        <v>375000</v>
      </c>
      <c r="P128" s="60"/>
      <c r="Q128" s="60"/>
      <c r="R128" s="147" t="s">
        <v>367</v>
      </c>
      <c r="S128" s="147" t="s">
        <v>367</v>
      </c>
      <c r="T128" s="188">
        <v>375000</v>
      </c>
      <c r="U128" s="147" t="s">
        <v>367</v>
      </c>
      <c r="V128" s="147" t="s">
        <v>367</v>
      </c>
      <c r="W128" s="60"/>
      <c r="X128" s="60"/>
      <c r="Y128" s="188">
        <v>375000</v>
      </c>
      <c r="Z128" s="60"/>
      <c r="AA128" s="60"/>
      <c r="AB128" s="147" t="s">
        <v>367</v>
      </c>
      <c r="AC128" s="147" t="s">
        <v>367</v>
      </c>
      <c r="AD128" s="191">
        <v>375000</v>
      </c>
      <c r="AE128" s="34" t="s">
        <v>171</v>
      </c>
    </row>
    <row r="129" spans="1:31" ht="31.5" customHeight="1" thickBot="1" x14ac:dyDescent="0.3">
      <c r="A129" s="236"/>
      <c r="B129" s="236"/>
      <c r="C129" s="238" t="s">
        <v>123</v>
      </c>
      <c r="D129" s="18" t="s">
        <v>328</v>
      </c>
      <c r="E129" s="15" t="s">
        <v>311</v>
      </c>
      <c r="F129" s="147"/>
      <c r="G129" s="147"/>
      <c r="H129" s="147"/>
      <c r="I129" s="147"/>
      <c r="J129" s="185">
        <v>0</v>
      </c>
      <c r="K129" s="147" t="s">
        <v>367</v>
      </c>
      <c r="L129" s="147"/>
      <c r="M129" s="60"/>
      <c r="N129" s="60"/>
      <c r="O129" s="185">
        <v>140400</v>
      </c>
      <c r="P129" s="147" t="s">
        <v>367</v>
      </c>
      <c r="Q129" s="60"/>
      <c r="R129" s="60"/>
      <c r="S129" s="60"/>
      <c r="T129" s="188">
        <v>140400</v>
      </c>
      <c r="U129" s="60"/>
      <c r="V129" s="147" t="s">
        <v>367</v>
      </c>
      <c r="W129" s="60"/>
      <c r="X129" s="60"/>
      <c r="Y129" s="188">
        <v>667520</v>
      </c>
      <c r="Z129" s="60"/>
      <c r="AA129" s="147" t="s">
        <v>367</v>
      </c>
      <c r="AB129" s="60"/>
      <c r="AC129" s="60"/>
      <c r="AD129" s="191">
        <v>140400</v>
      </c>
      <c r="AE129" s="34" t="s">
        <v>171</v>
      </c>
    </row>
    <row r="130" spans="1:31" ht="62.25" customHeight="1" thickBot="1" x14ac:dyDescent="0.3">
      <c r="A130" s="237"/>
      <c r="B130" s="236"/>
      <c r="C130" s="260"/>
      <c r="D130" s="18" t="s">
        <v>124</v>
      </c>
      <c r="E130" s="15" t="s">
        <v>309</v>
      </c>
      <c r="F130" s="147"/>
      <c r="G130" s="147"/>
      <c r="H130" s="147"/>
      <c r="I130" s="147"/>
      <c r="J130" s="185">
        <v>0</v>
      </c>
      <c r="K130" s="35"/>
      <c r="L130" s="35"/>
      <c r="M130" s="147" t="s">
        <v>367</v>
      </c>
      <c r="N130" s="147" t="s">
        <v>367</v>
      </c>
      <c r="O130" s="185">
        <v>400000</v>
      </c>
      <c r="P130" s="147" t="s">
        <v>367</v>
      </c>
      <c r="Q130" s="147" t="s">
        <v>367</v>
      </c>
      <c r="R130" s="147" t="s">
        <v>367</v>
      </c>
      <c r="S130" s="147" t="s">
        <v>367</v>
      </c>
      <c r="T130" s="188">
        <v>25000</v>
      </c>
      <c r="U130" s="147" t="s">
        <v>367</v>
      </c>
      <c r="V130" s="147" t="s">
        <v>367</v>
      </c>
      <c r="W130" s="147" t="s">
        <v>367</v>
      </c>
      <c r="X130" s="147" t="s">
        <v>367</v>
      </c>
      <c r="Y130" s="188">
        <v>25000</v>
      </c>
      <c r="Z130" s="147" t="s">
        <v>367</v>
      </c>
      <c r="AA130" s="147" t="s">
        <v>367</v>
      </c>
      <c r="AB130" s="147" t="s">
        <v>367</v>
      </c>
      <c r="AC130" s="147" t="s">
        <v>367</v>
      </c>
      <c r="AD130" s="191">
        <v>25000</v>
      </c>
      <c r="AE130" s="34" t="s">
        <v>171</v>
      </c>
    </row>
    <row r="131" spans="1:31" ht="79.5" customHeight="1" thickBot="1" x14ac:dyDescent="0.3">
      <c r="A131" s="124" t="s">
        <v>182</v>
      </c>
      <c r="B131" s="117">
        <v>7.3</v>
      </c>
      <c r="C131" s="127" t="s">
        <v>125</v>
      </c>
      <c r="D131" s="18" t="s">
        <v>329</v>
      </c>
      <c r="E131" s="15" t="s">
        <v>312</v>
      </c>
      <c r="F131" s="147" t="s">
        <v>367</v>
      </c>
      <c r="G131" s="147" t="s">
        <v>367</v>
      </c>
      <c r="H131" s="147" t="s">
        <v>367</v>
      </c>
      <c r="I131" s="147" t="s">
        <v>367</v>
      </c>
      <c r="J131" s="185">
        <v>1000000</v>
      </c>
      <c r="K131" s="147" t="s">
        <v>367</v>
      </c>
      <c r="L131" s="147" t="s">
        <v>367</v>
      </c>
      <c r="M131" s="147" t="s">
        <v>367</v>
      </c>
      <c r="N131" s="147" t="s">
        <v>367</v>
      </c>
      <c r="O131" s="185">
        <v>750000</v>
      </c>
      <c r="P131" s="147" t="s">
        <v>367</v>
      </c>
      <c r="Q131" s="147" t="s">
        <v>367</v>
      </c>
      <c r="R131" s="147" t="s">
        <v>367</v>
      </c>
      <c r="S131" s="147" t="s">
        <v>367</v>
      </c>
      <c r="T131" s="188">
        <v>750000</v>
      </c>
      <c r="U131" s="147" t="s">
        <v>367</v>
      </c>
      <c r="V131" s="147" t="s">
        <v>367</v>
      </c>
      <c r="W131" s="147" t="s">
        <v>367</v>
      </c>
      <c r="X131" s="147" t="s">
        <v>367</v>
      </c>
      <c r="Y131" s="188">
        <v>750000</v>
      </c>
      <c r="Z131" s="147" t="s">
        <v>367</v>
      </c>
      <c r="AA131" s="147" t="s">
        <v>367</v>
      </c>
      <c r="AB131" s="147" t="s">
        <v>367</v>
      </c>
      <c r="AC131" s="147" t="s">
        <v>367</v>
      </c>
      <c r="AD131" s="191">
        <v>750000</v>
      </c>
      <c r="AE131" s="34" t="s">
        <v>171</v>
      </c>
    </row>
    <row r="132" spans="1:31" ht="40.5" customHeight="1" thickBot="1" x14ac:dyDescent="0.3">
      <c r="A132" s="238" t="s">
        <v>183</v>
      </c>
      <c r="B132" s="246">
        <v>7.4</v>
      </c>
      <c r="C132" s="238" t="s">
        <v>126</v>
      </c>
      <c r="D132" s="18" t="s">
        <v>330</v>
      </c>
      <c r="E132" s="15" t="s">
        <v>316</v>
      </c>
      <c r="F132" s="147"/>
      <c r="G132" s="147" t="s">
        <v>367</v>
      </c>
      <c r="H132" s="147"/>
      <c r="I132" s="147"/>
      <c r="J132" s="185">
        <v>200000</v>
      </c>
      <c r="K132" s="60"/>
      <c r="L132" s="147" t="s">
        <v>367</v>
      </c>
      <c r="M132" s="60"/>
      <c r="N132" s="60"/>
      <c r="O132" s="185">
        <f>200000+(200000*0.05)</f>
        <v>210000</v>
      </c>
      <c r="P132" s="60"/>
      <c r="Q132" s="147" t="s">
        <v>367</v>
      </c>
      <c r="R132" s="60"/>
      <c r="S132" s="60"/>
      <c r="T132" s="188">
        <f>O132+(O132*0.05)</f>
        <v>220500</v>
      </c>
      <c r="U132" s="60"/>
      <c r="V132" s="147" t="s">
        <v>367</v>
      </c>
      <c r="W132" s="60"/>
      <c r="X132" s="60"/>
      <c r="Y132" s="188">
        <f>T132+(T132*0.05)</f>
        <v>231525</v>
      </c>
      <c r="Z132" s="60"/>
      <c r="AA132" s="147" t="s">
        <v>367</v>
      </c>
      <c r="AB132" s="60"/>
      <c r="AC132" s="60"/>
      <c r="AD132" s="191">
        <f>Y132+(Y132*0.05)</f>
        <v>243101.25</v>
      </c>
      <c r="AE132" s="34" t="s">
        <v>171</v>
      </c>
    </row>
    <row r="133" spans="1:31" ht="43.5" thickBot="1" x14ac:dyDescent="0.3">
      <c r="A133" s="239"/>
      <c r="B133" s="247"/>
      <c r="C133" s="239"/>
      <c r="D133" s="18" t="s">
        <v>331</v>
      </c>
      <c r="E133" s="15" t="s">
        <v>317</v>
      </c>
      <c r="F133" s="147"/>
      <c r="G133" s="147"/>
      <c r="H133" s="147"/>
      <c r="I133" s="147" t="s">
        <v>367</v>
      </c>
      <c r="J133" s="185">
        <v>50000</v>
      </c>
      <c r="K133" s="147" t="s">
        <v>367</v>
      </c>
      <c r="L133" s="60"/>
      <c r="M133" s="60"/>
      <c r="N133" s="60"/>
      <c r="O133" s="185">
        <v>90000</v>
      </c>
      <c r="P133" s="60"/>
      <c r="Q133" s="60"/>
      <c r="R133" s="60"/>
      <c r="S133" s="60"/>
      <c r="T133" s="188">
        <v>0</v>
      </c>
      <c r="U133" s="60"/>
      <c r="V133" s="60"/>
      <c r="W133" s="60"/>
      <c r="X133" s="60"/>
      <c r="Y133" s="188">
        <v>0</v>
      </c>
      <c r="Z133" s="60"/>
      <c r="AA133" s="60"/>
      <c r="AB133" s="60"/>
      <c r="AC133" s="60"/>
      <c r="AD133" s="191">
        <v>0</v>
      </c>
      <c r="AE133" s="34" t="s">
        <v>171</v>
      </c>
    </row>
    <row r="134" spans="1:31" ht="30.75" thickBot="1" x14ac:dyDescent="0.3">
      <c r="A134" s="239"/>
      <c r="B134" s="247"/>
      <c r="C134" s="239"/>
      <c r="D134" s="18" t="s">
        <v>332</v>
      </c>
      <c r="E134" s="15" t="s">
        <v>127</v>
      </c>
      <c r="F134" s="147"/>
      <c r="G134" s="147"/>
      <c r="H134" s="147" t="s">
        <v>367</v>
      </c>
      <c r="I134" s="147"/>
      <c r="J134" s="185">
        <v>10000</v>
      </c>
      <c r="K134" s="147" t="s">
        <v>367</v>
      </c>
      <c r="L134" s="60"/>
      <c r="M134" s="60"/>
      <c r="N134" s="60"/>
      <c r="O134" s="185">
        <v>10000</v>
      </c>
      <c r="P134" s="147" t="s">
        <v>367</v>
      </c>
      <c r="Q134" s="60"/>
      <c r="R134" s="60"/>
      <c r="S134" s="60"/>
      <c r="T134" s="188">
        <v>10000</v>
      </c>
      <c r="U134" s="147" t="s">
        <v>367</v>
      </c>
      <c r="V134" s="60"/>
      <c r="W134" s="60"/>
      <c r="X134" s="60"/>
      <c r="Y134" s="188">
        <v>10000</v>
      </c>
      <c r="Z134" s="147" t="s">
        <v>367</v>
      </c>
      <c r="AA134" s="60"/>
      <c r="AB134" s="60"/>
      <c r="AC134" s="60"/>
      <c r="AD134" s="191">
        <v>10000</v>
      </c>
      <c r="AE134" s="34" t="s">
        <v>171</v>
      </c>
    </row>
    <row r="135" spans="1:31" ht="30.75" thickBot="1" x14ac:dyDescent="0.3">
      <c r="A135" s="260"/>
      <c r="B135" s="248"/>
      <c r="C135" s="260"/>
      <c r="D135" s="18" t="s">
        <v>333</v>
      </c>
      <c r="E135" s="15" t="s">
        <v>128</v>
      </c>
      <c r="F135" s="147"/>
      <c r="G135" s="147"/>
      <c r="H135" s="147"/>
      <c r="I135" s="147"/>
      <c r="J135" s="186">
        <v>30000</v>
      </c>
      <c r="K135" s="60"/>
      <c r="L135" s="60"/>
      <c r="M135" s="60"/>
      <c r="N135" s="60"/>
      <c r="O135" s="186">
        <v>30000</v>
      </c>
      <c r="P135" s="60"/>
      <c r="Q135" s="60"/>
      <c r="R135" s="60"/>
      <c r="S135" s="60"/>
      <c r="T135" s="189">
        <v>30000</v>
      </c>
      <c r="U135" s="60"/>
      <c r="V135" s="60"/>
      <c r="W135" s="60"/>
      <c r="X135" s="60"/>
      <c r="Y135" s="189">
        <v>30000</v>
      </c>
      <c r="Z135" s="60"/>
      <c r="AA135" s="60"/>
      <c r="AB135" s="60"/>
      <c r="AC135" s="60"/>
      <c r="AD135" s="192">
        <v>30000</v>
      </c>
      <c r="AE135" s="34" t="s">
        <v>171</v>
      </c>
    </row>
    <row r="136" spans="1:31" ht="52.5" customHeight="1" thickBot="1" x14ac:dyDescent="0.3">
      <c r="A136" s="235" t="s">
        <v>184</v>
      </c>
      <c r="B136" s="246">
        <v>7.5</v>
      </c>
      <c r="C136" s="238" t="s">
        <v>129</v>
      </c>
      <c r="D136" s="18" t="s">
        <v>334</v>
      </c>
      <c r="E136" s="15" t="s">
        <v>313</v>
      </c>
      <c r="F136" s="147"/>
      <c r="G136" s="147"/>
      <c r="H136" s="147"/>
      <c r="I136" s="147"/>
      <c r="J136" s="185">
        <v>0</v>
      </c>
      <c r="K136" s="60"/>
      <c r="L136" s="60"/>
      <c r="M136" s="60"/>
      <c r="N136" s="147" t="s">
        <v>367</v>
      </c>
      <c r="O136" s="185">
        <v>10000</v>
      </c>
      <c r="P136" s="60"/>
      <c r="Q136" s="60"/>
      <c r="R136" s="60"/>
      <c r="S136" s="147" t="s">
        <v>367</v>
      </c>
      <c r="T136" s="188">
        <v>10000</v>
      </c>
      <c r="U136" s="60"/>
      <c r="V136" s="60"/>
      <c r="W136" s="60"/>
      <c r="X136" s="147" t="s">
        <v>367</v>
      </c>
      <c r="Y136" s="188">
        <v>10000</v>
      </c>
      <c r="Z136" s="60"/>
      <c r="AA136" s="60"/>
      <c r="AB136" s="60"/>
      <c r="AC136" s="147" t="s">
        <v>367</v>
      </c>
      <c r="AD136" s="191">
        <v>10000</v>
      </c>
      <c r="AE136" s="34" t="s">
        <v>171</v>
      </c>
    </row>
    <row r="137" spans="1:31" ht="60" customHeight="1" thickBot="1" x14ac:dyDescent="0.3">
      <c r="A137" s="236"/>
      <c r="B137" s="247"/>
      <c r="C137" s="260"/>
      <c r="D137" s="18" t="s">
        <v>335</v>
      </c>
      <c r="E137" s="15" t="s">
        <v>314</v>
      </c>
      <c r="F137" s="147"/>
      <c r="G137" s="147"/>
      <c r="H137" s="147"/>
      <c r="I137" s="147"/>
      <c r="J137" s="185">
        <v>0</v>
      </c>
      <c r="K137" s="60"/>
      <c r="L137" s="60"/>
      <c r="M137" s="60"/>
      <c r="N137" s="60"/>
      <c r="O137" s="185">
        <v>0</v>
      </c>
      <c r="P137" s="60"/>
      <c r="Q137" s="60"/>
      <c r="R137" s="147" t="s">
        <v>367</v>
      </c>
      <c r="S137" s="60"/>
      <c r="T137" s="188">
        <v>12000</v>
      </c>
      <c r="U137" s="60"/>
      <c r="V137" s="60"/>
      <c r="W137" s="147" t="s">
        <v>367</v>
      </c>
      <c r="X137" s="60"/>
      <c r="Y137" s="188">
        <v>12000</v>
      </c>
      <c r="Z137" s="60"/>
      <c r="AA137" s="60"/>
      <c r="AB137" s="147" t="s">
        <v>367</v>
      </c>
      <c r="AC137" s="60"/>
      <c r="AD137" s="191">
        <v>10000</v>
      </c>
      <c r="AE137" s="34" t="s">
        <v>171</v>
      </c>
    </row>
    <row r="138" spans="1:31" ht="44.25" customHeight="1" thickBot="1" x14ac:dyDescent="0.3">
      <c r="A138" s="236"/>
      <c r="B138" s="247"/>
      <c r="C138" s="238" t="s">
        <v>130</v>
      </c>
      <c r="D138" s="18" t="s">
        <v>336</v>
      </c>
      <c r="E138" s="15" t="s">
        <v>315</v>
      </c>
      <c r="F138" s="147"/>
      <c r="G138" s="147"/>
      <c r="H138" s="147"/>
      <c r="I138" s="147"/>
      <c r="J138" s="185">
        <v>0</v>
      </c>
      <c r="K138" s="60"/>
      <c r="L138" s="147" t="s">
        <v>367</v>
      </c>
      <c r="M138" s="147" t="s">
        <v>367</v>
      </c>
      <c r="N138" s="147" t="s">
        <v>367</v>
      </c>
      <c r="O138" s="185">
        <v>20000</v>
      </c>
      <c r="P138" s="147" t="s">
        <v>367</v>
      </c>
      <c r="Q138" s="147" t="s">
        <v>367</v>
      </c>
      <c r="R138" s="147" t="s">
        <v>367</v>
      </c>
      <c r="S138" s="147" t="s">
        <v>367</v>
      </c>
      <c r="T138" s="188">
        <v>20000</v>
      </c>
      <c r="U138" s="147" t="s">
        <v>367</v>
      </c>
      <c r="V138" s="147" t="s">
        <v>367</v>
      </c>
      <c r="W138" s="147" t="s">
        <v>367</v>
      </c>
      <c r="X138" s="147" t="s">
        <v>367</v>
      </c>
      <c r="Y138" s="188">
        <v>25000</v>
      </c>
      <c r="Z138" s="147" t="s">
        <v>367</v>
      </c>
      <c r="AA138" s="147" t="s">
        <v>367</v>
      </c>
      <c r="AB138" s="147" t="s">
        <v>367</v>
      </c>
      <c r="AC138" s="147" t="s">
        <v>367</v>
      </c>
      <c r="AD138" s="191">
        <v>25000</v>
      </c>
      <c r="AE138" s="34" t="s">
        <v>171</v>
      </c>
    </row>
    <row r="139" spans="1:31" ht="43.5" thickBot="1" x14ac:dyDescent="0.3">
      <c r="A139" s="236"/>
      <c r="B139" s="247"/>
      <c r="C139" s="239"/>
      <c r="D139" s="18" t="s">
        <v>337</v>
      </c>
      <c r="E139" s="15" t="s">
        <v>131</v>
      </c>
      <c r="F139" s="147"/>
      <c r="G139" s="147"/>
      <c r="H139" s="147"/>
      <c r="I139" s="147"/>
      <c r="J139" s="185">
        <v>0</v>
      </c>
      <c r="K139" s="60"/>
      <c r="L139" s="60"/>
      <c r="M139" s="147" t="s">
        <v>367</v>
      </c>
      <c r="N139" s="147" t="s">
        <v>367</v>
      </c>
      <c r="O139" s="185">
        <v>30000</v>
      </c>
      <c r="P139" s="147" t="s">
        <v>367</v>
      </c>
      <c r="Q139" s="147" t="s">
        <v>367</v>
      </c>
      <c r="R139" s="60"/>
      <c r="S139" s="60"/>
      <c r="T139" s="188">
        <v>30000</v>
      </c>
      <c r="U139" s="147" t="s">
        <v>367</v>
      </c>
      <c r="V139" s="147" t="s">
        <v>367</v>
      </c>
      <c r="W139" s="60"/>
      <c r="X139" s="60"/>
      <c r="Y139" s="188">
        <v>30000</v>
      </c>
      <c r="Z139" s="147" t="s">
        <v>367</v>
      </c>
      <c r="AA139" s="147" t="s">
        <v>367</v>
      </c>
      <c r="AB139" s="60"/>
      <c r="AC139" s="60"/>
      <c r="AD139" s="191">
        <v>35000</v>
      </c>
      <c r="AE139" s="34" t="s">
        <v>171</v>
      </c>
    </row>
    <row r="140" spans="1:31" ht="43.5" thickBot="1" x14ac:dyDescent="0.3">
      <c r="A140" s="236"/>
      <c r="B140" s="247"/>
      <c r="C140" s="239"/>
      <c r="D140" s="137" t="s">
        <v>338</v>
      </c>
      <c r="E140" s="138" t="s">
        <v>369</v>
      </c>
      <c r="F140" s="147"/>
      <c r="G140" s="147"/>
      <c r="H140" s="147"/>
      <c r="I140" s="147"/>
      <c r="J140" s="185">
        <v>0</v>
      </c>
      <c r="K140" s="60"/>
      <c r="L140" s="60"/>
      <c r="M140" s="60"/>
      <c r="N140" s="60"/>
      <c r="O140" s="185">
        <v>10000</v>
      </c>
      <c r="P140" s="60"/>
      <c r="Q140" s="60"/>
      <c r="R140" s="60"/>
      <c r="S140" s="60"/>
      <c r="T140" s="188">
        <v>10000</v>
      </c>
      <c r="U140" s="60"/>
      <c r="V140" s="60"/>
      <c r="W140" s="60"/>
      <c r="X140" s="60"/>
      <c r="Y140" s="188">
        <v>10000</v>
      </c>
      <c r="Z140" s="60"/>
      <c r="AA140" s="60"/>
      <c r="AB140" s="60"/>
      <c r="AC140" s="60"/>
      <c r="AD140" s="191">
        <v>10000</v>
      </c>
      <c r="AE140" s="34" t="s">
        <v>171</v>
      </c>
    </row>
    <row r="141" spans="1:31" ht="40.5" customHeight="1" thickBot="1" x14ac:dyDescent="0.3">
      <c r="A141" s="237"/>
      <c r="B141" s="248"/>
      <c r="C141" s="239"/>
      <c r="D141" s="126" t="s">
        <v>339</v>
      </c>
      <c r="E141" s="138" t="s">
        <v>368</v>
      </c>
      <c r="F141" s="147"/>
      <c r="G141" s="147"/>
      <c r="H141" s="147"/>
      <c r="I141" s="147"/>
      <c r="J141" s="185">
        <v>700000</v>
      </c>
      <c r="K141" s="60"/>
      <c r="L141" s="60"/>
      <c r="M141" s="147" t="s">
        <v>367</v>
      </c>
      <c r="N141" s="60"/>
      <c r="O141" s="185">
        <f>700000+(700000*0.08)</f>
        <v>756000</v>
      </c>
      <c r="P141" s="60"/>
      <c r="Q141" s="60"/>
      <c r="R141" s="147" t="s">
        <v>367</v>
      </c>
      <c r="S141" s="60"/>
      <c r="T141" s="188">
        <f>756000+(756000*0.08)</f>
        <v>816480</v>
      </c>
      <c r="U141" s="60"/>
      <c r="V141" s="60"/>
      <c r="W141" s="147" t="s">
        <v>367</v>
      </c>
      <c r="X141" s="60"/>
      <c r="Y141" s="188">
        <f>816480+(816480*0.08)</f>
        <v>881798.4</v>
      </c>
      <c r="Z141" s="60"/>
      <c r="AA141" s="60"/>
      <c r="AB141" s="147" t="s">
        <v>367</v>
      </c>
      <c r="AC141" s="60"/>
      <c r="AD141" s="191">
        <f>881798.4+(881798.4*0.08)</f>
        <v>952342.272</v>
      </c>
      <c r="AE141" s="34" t="s">
        <v>171</v>
      </c>
    </row>
    <row r="142" spans="1:31" ht="43.5" thickBot="1" x14ac:dyDescent="0.3">
      <c r="A142" s="235" t="s">
        <v>180</v>
      </c>
      <c r="B142" s="246">
        <v>7.6</v>
      </c>
      <c r="C142" s="238" t="s">
        <v>132</v>
      </c>
      <c r="D142" s="20" t="s">
        <v>340</v>
      </c>
      <c r="E142" s="179" t="s">
        <v>133</v>
      </c>
      <c r="F142" s="147"/>
      <c r="G142" s="147"/>
      <c r="H142" s="147" t="s">
        <v>367</v>
      </c>
      <c r="I142" s="147"/>
      <c r="J142" s="185">
        <v>700000</v>
      </c>
      <c r="K142" s="60"/>
      <c r="L142" s="60"/>
      <c r="M142" s="147" t="s">
        <v>367</v>
      </c>
      <c r="N142" s="60"/>
      <c r="O142" s="185">
        <f>700000+(700000*0.08)</f>
        <v>756000</v>
      </c>
      <c r="P142" s="60"/>
      <c r="Q142" s="60"/>
      <c r="R142" s="147" t="s">
        <v>367</v>
      </c>
      <c r="S142" s="60"/>
      <c r="T142" s="188">
        <f>756000+(756000*0.08)</f>
        <v>816480</v>
      </c>
      <c r="U142" s="60"/>
      <c r="V142" s="60"/>
      <c r="W142" s="147" t="s">
        <v>367</v>
      </c>
      <c r="X142" s="60"/>
      <c r="Y142" s="188">
        <f>816480+(816480*0.08)</f>
        <v>881798.4</v>
      </c>
      <c r="Z142" s="60"/>
      <c r="AA142" s="60"/>
      <c r="AB142" s="147" t="s">
        <v>367</v>
      </c>
      <c r="AC142" s="60"/>
      <c r="AD142" s="191">
        <f>881798.4+(881798.4*0.08)</f>
        <v>952342.272</v>
      </c>
      <c r="AE142" s="34" t="s">
        <v>171</v>
      </c>
    </row>
    <row r="143" spans="1:31" ht="43.5" thickBot="1" x14ac:dyDescent="0.3">
      <c r="A143" s="236"/>
      <c r="B143" s="247"/>
      <c r="C143" s="239"/>
      <c r="D143" s="7" t="s">
        <v>341</v>
      </c>
      <c r="E143" s="15" t="s">
        <v>134</v>
      </c>
      <c r="F143" s="147"/>
      <c r="G143" s="147"/>
      <c r="H143" s="147"/>
      <c r="I143" s="147"/>
      <c r="J143" s="185">
        <v>0</v>
      </c>
      <c r="K143" s="60"/>
      <c r="L143" s="60"/>
      <c r="M143" s="147" t="s">
        <v>367</v>
      </c>
      <c r="N143" s="147" t="s">
        <v>367</v>
      </c>
      <c r="O143" s="185">
        <v>80000</v>
      </c>
      <c r="P143" s="147" t="s">
        <v>367</v>
      </c>
      <c r="Q143" s="147" t="s">
        <v>367</v>
      </c>
      <c r="R143" s="60"/>
      <c r="S143" s="60"/>
      <c r="T143" s="188">
        <v>80000</v>
      </c>
      <c r="U143" s="60"/>
      <c r="V143" s="60"/>
      <c r="W143" s="60"/>
      <c r="X143" s="60"/>
      <c r="Y143" s="188">
        <v>33000</v>
      </c>
      <c r="Z143" s="60"/>
      <c r="AA143" s="60"/>
      <c r="AB143" s="60"/>
      <c r="AC143" s="60"/>
      <c r="AD143" s="191">
        <v>0</v>
      </c>
      <c r="AE143" s="34" t="s">
        <v>171</v>
      </c>
    </row>
    <row r="144" spans="1:31" ht="43.5" customHeight="1" thickBot="1" x14ac:dyDescent="0.3">
      <c r="A144" s="236"/>
      <c r="B144" s="247"/>
      <c r="C144" s="239"/>
      <c r="D144" s="7" t="s">
        <v>342</v>
      </c>
      <c r="E144" s="15" t="s">
        <v>135</v>
      </c>
      <c r="F144" s="147"/>
      <c r="G144" s="147"/>
      <c r="H144" s="147"/>
      <c r="I144" s="147"/>
      <c r="J144" s="185">
        <v>0</v>
      </c>
      <c r="K144" s="60"/>
      <c r="L144" s="60"/>
      <c r="M144" s="147" t="s">
        <v>367</v>
      </c>
      <c r="N144" s="147" t="s">
        <v>367</v>
      </c>
      <c r="O144" s="185">
        <v>65000</v>
      </c>
      <c r="P144" s="60"/>
      <c r="Q144" s="60"/>
      <c r="R144" s="60"/>
      <c r="S144" s="60"/>
      <c r="T144" s="188">
        <v>0</v>
      </c>
      <c r="U144" s="60"/>
      <c r="V144" s="60"/>
      <c r="W144" s="60"/>
      <c r="X144" s="60"/>
      <c r="Y144" s="188">
        <v>0</v>
      </c>
      <c r="Z144" s="60"/>
      <c r="AA144" s="60"/>
      <c r="AB144" s="60"/>
      <c r="AC144" s="60"/>
      <c r="AD144" s="191">
        <v>0</v>
      </c>
      <c r="AE144" s="34" t="s">
        <v>171</v>
      </c>
    </row>
    <row r="145" spans="1:31" ht="41.25" customHeight="1" thickBot="1" x14ac:dyDescent="0.3">
      <c r="A145" s="236"/>
      <c r="B145" s="247"/>
      <c r="C145" s="260"/>
      <c r="D145" s="6" t="s">
        <v>343</v>
      </c>
      <c r="E145" s="15" t="s">
        <v>136</v>
      </c>
      <c r="F145" s="147"/>
      <c r="G145" s="147"/>
      <c r="H145" s="147"/>
      <c r="I145" s="147"/>
      <c r="J145" s="185">
        <v>0</v>
      </c>
      <c r="K145" s="60"/>
      <c r="L145" s="147" t="s">
        <v>367</v>
      </c>
      <c r="M145" s="147" t="s">
        <v>367</v>
      </c>
      <c r="N145" s="60"/>
      <c r="O145" s="185">
        <v>20000</v>
      </c>
      <c r="P145" s="147" t="s">
        <v>367</v>
      </c>
      <c r="Q145" s="147" t="s">
        <v>367</v>
      </c>
      <c r="R145" s="147" t="s">
        <v>367</v>
      </c>
      <c r="S145" s="147" t="s">
        <v>367</v>
      </c>
      <c r="T145" s="188">
        <v>20000</v>
      </c>
      <c r="U145" s="147" t="s">
        <v>367</v>
      </c>
      <c r="V145" s="147" t="s">
        <v>367</v>
      </c>
      <c r="W145" s="147" t="s">
        <v>367</v>
      </c>
      <c r="X145" s="147" t="s">
        <v>367</v>
      </c>
      <c r="Y145" s="188">
        <v>20000</v>
      </c>
      <c r="Z145" s="147" t="s">
        <v>367</v>
      </c>
      <c r="AA145" s="147" t="s">
        <v>367</v>
      </c>
      <c r="AB145" s="147" t="s">
        <v>367</v>
      </c>
      <c r="AC145" s="147" t="s">
        <v>367</v>
      </c>
      <c r="AD145" s="191">
        <v>20000</v>
      </c>
      <c r="AE145" s="34" t="s">
        <v>171</v>
      </c>
    </row>
    <row r="146" spans="1:31" ht="72" thickBot="1" x14ac:dyDescent="0.3">
      <c r="A146" s="236"/>
      <c r="B146" s="247"/>
      <c r="C146" s="238" t="s">
        <v>137</v>
      </c>
      <c r="D146" s="7" t="s">
        <v>344</v>
      </c>
      <c r="E146" s="15" t="s">
        <v>138</v>
      </c>
      <c r="F146" s="147"/>
      <c r="G146" s="147"/>
      <c r="H146" s="147"/>
      <c r="I146" s="147"/>
      <c r="J146" s="185">
        <v>0</v>
      </c>
      <c r="K146" s="60"/>
      <c r="L146" s="60"/>
      <c r="M146" s="147" t="s">
        <v>367</v>
      </c>
      <c r="N146" s="147" t="s">
        <v>367</v>
      </c>
      <c r="O146" s="185">
        <v>15000</v>
      </c>
      <c r="P146" s="60"/>
      <c r="Q146" s="60"/>
      <c r="R146" s="147" t="s">
        <v>367</v>
      </c>
      <c r="S146" s="147" t="s">
        <v>367</v>
      </c>
      <c r="T146" s="188">
        <v>15000</v>
      </c>
      <c r="U146" s="60"/>
      <c r="V146" s="60"/>
      <c r="W146" s="147" t="s">
        <v>367</v>
      </c>
      <c r="X146" s="147" t="s">
        <v>367</v>
      </c>
      <c r="Y146" s="188">
        <v>15000</v>
      </c>
      <c r="Z146" s="60"/>
      <c r="AA146" s="60"/>
      <c r="AB146" s="147" t="s">
        <v>367</v>
      </c>
      <c r="AC146" s="147" t="s">
        <v>367</v>
      </c>
      <c r="AD146" s="191">
        <v>15000</v>
      </c>
      <c r="AE146" s="34" t="s">
        <v>171</v>
      </c>
    </row>
    <row r="147" spans="1:31" ht="43.5" thickBot="1" x14ac:dyDescent="0.3">
      <c r="A147" s="236"/>
      <c r="B147" s="247"/>
      <c r="C147" s="260"/>
      <c r="D147" s="7" t="s">
        <v>345</v>
      </c>
      <c r="E147" s="15" t="s">
        <v>139</v>
      </c>
      <c r="F147" s="147"/>
      <c r="G147" s="147"/>
      <c r="H147" s="147"/>
      <c r="I147" s="147"/>
      <c r="J147" s="185">
        <v>0</v>
      </c>
      <c r="K147" s="60"/>
      <c r="L147" s="60"/>
      <c r="M147" s="147" t="s">
        <v>367</v>
      </c>
      <c r="N147" s="147" t="s">
        <v>367</v>
      </c>
      <c r="O147" s="185">
        <f>20*400*13.5</f>
        <v>108000</v>
      </c>
      <c r="P147" s="147" t="s">
        <v>367</v>
      </c>
      <c r="Q147" s="147" t="s">
        <v>367</v>
      </c>
      <c r="R147" s="60"/>
      <c r="S147" s="60"/>
      <c r="T147" s="188">
        <f>20*400*13.5</f>
        <v>108000</v>
      </c>
      <c r="U147" s="147" t="s">
        <v>367</v>
      </c>
      <c r="V147" s="147" t="s">
        <v>367</v>
      </c>
      <c r="W147" s="60"/>
      <c r="X147" s="60"/>
      <c r="Y147" s="188">
        <f>20*400*13.5</f>
        <v>108000</v>
      </c>
      <c r="Z147" s="147" t="s">
        <v>367</v>
      </c>
      <c r="AA147" s="147" t="s">
        <v>367</v>
      </c>
      <c r="AB147" s="60"/>
      <c r="AC147" s="60"/>
      <c r="AD147" s="191">
        <f>20*400*13.5</f>
        <v>108000</v>
      </c>
      <c r="AE147" s="34" t="s">
        <v>171</v>
      </c>
    </row>
    <row r="148" spans="1:31" ht="49.5" customHeight="1" thickBot="1" x14ac:dyDescent="0.3">
      <c r="A148" s="237"/>
      <c r="B148" s="248"/>
      <c r="C148" s="125"/>
      <c r="D148" s="46" t="s">
        <v>346</v>
      </c>
      <c r="E148" s="15"/>
      <c r="F148" s="147"/>
      <c r="G148" s="147"/>
      <c r="H148" s="147" t="s">
        <v>367</v>
      </c>
      <c r="I148" s="147" t="s">
        <v>367</v>
      </c>
      <c r="J148" s="185">
        <f>22000*12</f>
        <v>264000</v>
      </c>
      <c r="K148" s="147" t="s">
        <v>367</v>
      </c>
      <c r="L148" s="147" t="s">
        <v>367</v>
      </c>
      <c r="M148" s="147" t="s">
        <v>367</v>
      </c>
      <c r="N148" s="147" t="s">
        <v>367</v>
      </c>
      <c r="O148" s="185">
        <f>22000*12</f>
        <v>264000</v>
      </c>
      <c r="P148" s="147" t="s">
        <v>367</v>
      </c>
      <c r="Q148" s="147" t="s">
        <v>367</v>
      </c>
      <c r="R148" s="147" t="s">
        <v>367</v>
      </c>
      <c r="S148" s="147" t="s">
        <v>367</v>
      </c>
      <c r="T148" s="188">
        <f>22000*12</f>
        <v>264000</v>
      </c>
      <c r="U148" s="147" t="s">
        <v>367</v>
      </c>
      <c r="V148" s="147" t="s">
        <v>367</v>
      </c>
      <c r="W148" s="147" t="s">
        <v>367</v>
      </c>
      <c r="X148" s="147" t="s">
        <v>367</v>
      </c>
      <c r="Y148" s="188">
        <f>22000*12</f>
        <v>264000</v>
      </c>
      <c r="Z148" s="147" t="s">
        <v>367</v>
      </c>
      <c r="AA148" s="147" t="s">
        <v>367</v>
      </c>
      <c r="AB148" s="147" t="s">
        <v>367</v>
      </c>
      <c r="AC148" s="147" t="s">
        <v>367</v>
      </c>
      <c r="AD148" s="191">
        <f>22000*12</f>
        <v>264000</v>
      </c>
      <c r="AE148" s="34" t="s">
        <v>171</v>
      </c>
    </row>
    <row r="149" spans="1:31" ht="57.75" thickBot="1" x14ac:dyDescent="0.3">
      <c r="A149" s="235" t="s">
        <v>140</v>
      </c>
      <c r="B149" s="286">
        <v>7.7</v>
      </c>
      <c r="C149" s="238" t="s">
        <v>141</v>
      </c>
      <c r="D149" s="18" t="s">
        <v>347</v>
      </c>
      <c r="E149" s="15" t="s">
        <v>285</v>
      </c>
      <c r="F149" s="147"/>
      <c r="G149" s="147"/>
      <c r="H149" s="147"/>
      <c r="I149" s="147"/>
      <c r="J149" s="187">
        <v>0</v>
      </c>
      <c r="K149" s="60"/>
      <c r="L149" s="147"/>
      <c r="M149" s="147" t="s">
        <v>367</v>
      </c>
      <c r="N149" s="60"/>
      <c r="O149" s="187">
        <v>3000</v>
      </c>
      <c r="P149" s="147" t="s">
        <v>367</v>
      </c>
      <c r="Q149" s="60"/>
      <c r="R149" s="60"/>
      <c r="S149" s="60"/>
      <c r="T149" s="190">
        <v>3000</v>
      </c>
      <c r="U149" s="147" t="s">
        <v>367</v>
      </c>
      <c r="V149" s="60"/>
      <c r="W149" s="60"/>
      <c r="X149" s="60"/>
      <c r="Y149" s="190">
        <v>3000</v>
      </c>
      <c r="Z149" s="147" t="s">
        <v>367</v>
      </c>
      <c r="AA149" s="60"/>
      <c r="AB149" s="60"/>
      <c r="AC149" s="60"/>
      <c r="AD149" s="193">
        <v>3000</v>
      </c>
      <c r="AE149" s="34" t="s">
        <v>171</v>
      </c>
    </row>
    <row r="150" spans="1:31" ht="31.5" customHeight="1" thickBot="1" x14ac:dyDescent="0.3">
      <c r="A150" s="236"/>
      <c r="B150" s="287"/>
      <c r="C150" s="239"/>
      <c r="D150" s="6" t="s">
        <v>348</v>
      </c>
      <c r="E150" s="15" t="s">
        <v>286</v>
      </c>
      <c r="F150" s="147"/>
      <c r="G150" s="147"/>
      <c r="H150" s="147"/>
      <c r="I150" s="147"/>
      <c r="J150" s="187">
        <v>0</v>
      </c>
      <c r="K150" s="60"/>
      <c r="L150" s="60"/>
      <c r="M150" s="60"/>
      <c r="N150" s="60"/>
      <c r="O150" s="187">
        <v>20000</v>
      </c>
      <c r="P150" s="60"/>
      <c r="Q150" s="60"/>
      <c r="R150" s="60"/>
      <c r="S150" s="60"/>
      <c r="T150" s="190">
        <v>20000</v>
      </c>
      <c r="U150" s="60"/>
      <c r="V150" s="60"/>
      <c r="W150" s="60"/>
      <c r="X150" s="60"/>
      <c r="Y150" s="190">
        <v>20000</v>
      </c>
      <c r="Z150" s="60"/>
      <c r="AA150" s="60"/>
      <c r="AB150" s="60"/>
      <c r="AC150" s="60"/>
      <c r="AD150" s="193">
        <v>20000</v>
      </c>
      <c r="AE150" s="34" t="s">
        <v>171</v>
      </c>
    </row>
    <row r="151" spans="1:31" ht="30.75" thickBot="1" x14ac:dyDescent="0.3">
      <c r="A151" s="236"/>
      <c r="B151" s="287"/>
      <c r="C151" s="239"/>
      <c r="D151" s="6" t="s">
        <v>349</v>
      </c>
      <c r="E151" s="151" t="s">
        <v>287</v>
      </c>
      <c r="F151" s="152"/>
      <c r="G151" s="152"/>
      <c r="H151" s="152"/>
      <c r="I151" s="152"/>
      <c r="J151" s="187">
        <v>0</v>
      </c>
      <c r="K151" s="147" t="s">
        <v>367</v>
      </c>
      <c r="L151" s="153"/>
      <c r="M151" s="153"/>
      <c r="N151" s="153"/>
      <c r="O151" s="187">
        <v>12000</v>
      </c>
      <c r="P151" s="147" t="s">
        <v>367</v>
      </c>
      <c r="Q151" s="153"/>
      <c r="R151" s="153"/>
      <c r="S151" s="153"/>
      <c r="T151" s="190">
        <v>9000</v>
      </c>
      <c r="U151" s="147" t="s">
        <v>367</v>
      </c>
      <c r="V151" s="153"/>
      <c r="W151" s="153"/>
      <c r="X151" s="153"/>
      <c r="Y151" s="190">
        <v>8000</v>
      </c>
      <c r="Z151" s="147" t="s">
        <v>367</v>
      </c>
      <c r="AA151" s="153"/>
      <c r="AB151" s="153"/>
      <c r="AC151" s="153"/>
      <c r="AD151" s="193">
        <v>9000</v>
      </c>
      <c r="AE151" s="34" t="s">
        <v>171</v>
      </c>
    </row>
    <row r="152" spans="1:31" ht="66" customHeight="1" thickBot="1" x14ac:dyDescent="0.3">
      <c r="A152" s="236"/>
      <c r="B152" s="287"/>
      <c r="C152" s="239"/>
      <c r="D152" s="6" t="s">
        <v>350</v>
      </c>
      <c r="E152" s="15" t="s">
        <v>288</v>
      </c>
      <c r="F152" s="147"/>
      <c r="G152" s="147"/>
      <c r="H152" s="147"/>
      <c r="I152" s="147" t="s">
        <v>367</v>
      </c>
      <c r="J152" s="187">
        <v>800000</v>
      </c>
      <c r="K152" s="147" t="s">
        <v>367</v>
      </c>
      <c r="L152" s="60"/>
      <c r="M152" s="60"/>
      <c r="N152" s="60"/>
      <c r="O152" s="187">
        <v>800000</v>
      </c>
      <c r="P152" s="147" t="s">
        <v>367</v>
      </c>
      <c r="Q152" s="60"/>
      <c r="R152" s="60"/>
      <c r="S152" s="60"/>
      <c r="T152" s="190">
        <v>800000</v>
      </c>
      <c r="U152" s="147" t="s">
        <v>367</v>
      </c>
      <c r="V152" s="60"/>
      <c r="W152" s="60"/>
      <c r="X152" s="60"/>
      <c r="Y152" s="190">
        <v>800000</v>
      </c>
      <c r="Z152" s="147" t="s">
        <v>367</v>
      </c>
      <c r="AA152" s="60"/>
      <c r="AB152" s="60"/>
      <c r="AC152" s="60"/>
      <c r="AD152" s="193">
        <v>800000</v>
      </c>
      <c r="AE152" s="34" t="s">
        <v>171</v>
      </c>
    </row>
    <row r="153" spans="1:31" ht="46.5" customHeight="1" thickBot="1" x14ac:dyDescent="0.3">
      <c r="A153" s="236"/>
      <c r="B153" s="287"/>
      <c r="C153" s="260"/>
      <c r="D153" s="6" t="s">
        <v>351</v>
      </c>
      <c r="E153" s="15" t="s">
        <v>289</v>
      </c>
      <c r="F153" s="147"/>
      <c r="G153" s="147"/>
      <c r="H153" s="147"/>
      <c r="I153" s="147" t="s">
        <v>367</v>
      </c>
      <c r="J153" s="187">
        <v>2000000</v>
      </c>
      <c r="K153" s="147" t="s">
        <v>367</v>
      </c>
      <c r="L153" s="147" t="s">
        <v>367</v>
      </c>
      <c r="M153" s="147" t="s">
        <v>367</v>
      </c>
      <c r="N153" s="147" t="s">
        <v>367</v>
      </c>
      <c r="O153" s="187">
        <v>2000000</v>
      </c>
      <c r="P153" s="147" t="s">
        <v>367</v>
      </c>
      <c r="Q153" s="147" t="s">
        <v>367</v>
      </c>
      <c r="R153" s="147" t="s">
        <v>367</v>
      </c>
      <c r="S153" s="147" t="s">
        <v>367</v>
      </c>
      <c r="T153" s="190">
        <v>2000000</v>
      </c>
      <c r="U153" s="147" t="s">
        <v>367</v>
      </c>
      <c r="V153" s="147" t="s">
        <v>367</v>
      </c>
      <c r="W153" s="147" t="s">
        <v>367</v>
      </c>
      <c r="X153" s="147" t="s">
        <v>367</v>
      </c>
      <c r="Y153" s="190">
        <v>2000000</v>
      </c>
      <c r="Z153" s="147" t="s">
        <v>367</v>
      </c>
      <c r="AA153" s="147" t="s">
        <v>367</v>
      </c>
      <c r="AB153" s="147" t="s">
        <v>367</v>
      </c>
      <c r="AC153" s="147" t="s">
        <v>367</v>
      </c>
      <c r="AD153" s="193">
        <v>2000000</v>
      </c>
      <c r="AE153" s="34" t="s">
        <v>171</v>
      </c>
    </row>
    <row r="154" spans="1:31" ht="43.5" thickBot="1" x14ac:dyDescent="0.3">
      <c r="A154" s="236"/>
      <c r="B154" s="287"/>
      <c r="C154" s="238" t="s">
        <v>142</v>
      </c>
      <c r="D154" s="6" t="s">
        <v>352</v>
      </c>
      <c r="E154" s="15" t="s">
        <v>290</v>
      </c>
      <c r="F154" s="147" t="s">
        <v>367</v>
      </c>
      <c r="G154" s="147" t="s">
        <v>367</v>
      </c>
      <c r="H154" s="147" t="s">
        <v>367</v>
      </c>
      <c r="I154" s="147" t="s">
        <v>367</v>
      </c>
      <c r="J154" s="187">
        <v>0</v>
      </c>
      <c r="K154" s="147" t="s">
        <v>367</v>
      </c>
      <c r="L154" s="147" t="s">
        <v>367</v>
      </c>
      <c r="M154" s="147" t="s">
        <v>367</v>
      </c>
      <c r="N154" s="147" t="s">
        <v>367</v>
      </c>
      <c r="O154" s="187">
        <v>0</v>
      </c>
      <c r="P154" s="147" t="s">
        <v>367</v>
      </c>
      <c r="Q154" s="147" t="s">
        <v>367</v>
      </c>
      <c r="R154" s="147" t="s">
        <v>367</v>
      </c>
      <c r="S154" s="147" t="s">
        <v>367</v>
      </c>
      <c r="T154" s="190">
        <v>0</v>
      </c>
      <c r="U154" s="147" t="s">
        <v>367</v>
      </c>
      <c r="V154" s="147" t="s">
        <v>367</v>
      </c>
      <c r="W154" s="147" t="s">
        <v>367</v>
      </c>
      <c r="X154" s="147" t="s">
        <v>367</v>
      </c>
      <c r="Y154" s="190">
        <v>0</v>
      </c>
      <c r="Z154" s="147" t="s">
        <v>367</v>
      </c>
      <c r="AA154" s="147" t="s">
        <v>367</v>
      </c>
      <c r="AB154" s="147" t="s">
        <v>367</v>
      </c>
      <c r="AC154" s="147" t="s">
        <v>367</v>
      </c>
      <c r="AD154" s="193">
        <v>0</v>
      </c>
      <c r="AE154" s="34" t="s">
        <v>171</v>
      </c>
    </row>
    <row r="155" spans="1:31" ht="43.5" thickBot="1" x14ac:dyDescent="0.3">
      <c r="A155" s="236"/>
      <c r="B155" s="287"/>
      <c r="C155" s="239"/>
      <c r="D155" s="6" t="s">
        <v>353</v>
      </c>
      <c r="E155" s="15" t="s">
        <v>291</v>
      </c>
      <c r="F155" s="147" t="s">
        <v>367</v>
      </c>
      <c r="G155" s="147" t="s">
        <v>367</v>
      </c>
      <c r="H155" s="147" t="s">
        <v>367</v>
      </c>
      <c r="I155" s="147" t="s">
        <v>367</v>
      </c>
      <c r="J155" s="187">
        <v>0</v>
      </c>
      <c r="K155" s="147" t="s">
        <v>367</v>
      </c>
      <c r="L155" s="147" t="s">
        <v>367</v>
      </c>
      <c r="M155" s="147" t="s">
        <v>367</v>
      </c>
      <c r="N155" s="147" t="s">
        <v>367</v>
      </c>
      <c r="O155" s="187">
        <v>0</v>
      </c>
      <c r="P155" s="147" t="s">
        <v>367</v>
      </c>
      <c r="Q155" s="147" t="s">
        <v>367</v>
      </c>
      <c r="R155" s="147" t="s">
        <v>367</v>
      </c>
      <c r="S155" s="147" t="s">
        <v>367</v>
      </c>
      <c r="T155" s="190">
        <v>0</v>
      </c>
      <c r="U155" s="147" t="s">
        <v>367</v>
      </c>
      <c r="V155" s="147" t="s">
        <v>367</v>
      </c>
      <c r="W155" s="147" t="s">
        <v>367</v>
      </c>
      <c r="X155" s="147" t="s">
        <v>367</v>
      </c>
      <c r="Y155" s="190">
        <v>0</v>
      </c>
      <c r="Z155" s="147" t="s">
        <v>367</v>
      </c>
      <c r="AA155" s="147" t="s">
        <v>367</v>
      </c>
      <c r="AB155" s="147" t="s">
        <v>367</v>
      </c>
      <c r="AC155" s="147" t="s">
        <v>367</v>
      </c>
      <c r="AD155" s="193">
        <v>0</v>
      </c>
      <c r="AE155" s="34" t="s">
        <v>171</v>
      </c>
    </row>
    <row r="156" spans="1:31" ht="30.75" thickBot="1" x14ac:dyDescent="0.3">
      <c r="A156" s="237"/>
      <c r="B156" s="288"/>
      <c r="C156" s="260"/>
      <c r="D156" s="6" t="s">
        <v>354</v>
      </c>
      <c r="E156" s="15" t="s">
        <v>292</v>
      </c>
      <c r="F156" s="147"/>
      <c r="G156" s="147"/>
      <c r="H156" s="147" t="s">
        <v>367</v>
      </c>
      <c r="I156" s="147"/>
      <c r="J156" s="187">
        <v>0</v>
      </c>
      <c r="K156" s="60"/>
      <c r="L156" s="147" t="s">
        <v>367</v>
      </c>
      <c r="M156" s="60"/>
      <c r="N156" s="60"/>
      <c r="O156" s="187">
        <v>0</v>
      </c>
      <c r="P156" s="60"/>
      <c r="Q156" s="147" t="s">
        <v>367</v>
      </c>
      <c r="R156" s="60"/>
      <c r="S156" s="60"/>
      <c r="T156" s="190">
        <v>0</v>
      </c>
      <c r="U156" s="60"/>
      <c r="V156" s="147" t="s">
        <v>367</v>
      </c>
      <c r="W156" s="60"/>
      <c r="X156" s="60"/>
      <c r="Y156" s="190">
        <v>0</v>
      </c>
      <c r="Z156" s="60"/>
      <c r="AA156" s="147" t="s">
        <v>367</v>
      </c>
      <c r="AB156" s="60"/>
      <c r="AC156" s="60"/>
      <c r="AD156" s="193">
        <v>0</v>
      </c>
      <c r="AE156" s="34" t="s">
        <v>171</v>
      </c>
    </row>
    <row r="157" spans="1:31" s="199" customFormat="1" ht="31.5" customHeight="1" x14ac:dyDescent="0.3">
      <c r="B157" s="209"/>
      <c r="F157" s="210"/>
      <c r="G157" s="210"/>
      <c r="H157" s="210"/>
      <c r="I157" s="210"/>
      <c r="J157" s="211">
        <f>SUM(J118:J156)</f>
        <v>10652871.879999999</v>
      </c>
      <c r="K157" s="198"/>
      <c r="L157" s="198"/>
      <c r="M157" s="198"/>
      <c r="N157" s="198"/>
      <c r="O157" s="211">
        <f t="shared" ref="O157:AD157" si="6">SUM(O118:O156)</f>
        <v>14292812.287765993</v>
      </c>
      <c r="P157" s="198"/>
      <c r="Q157" s="198"/>
      <c r="R157" s="198"/>
      <c r="S157" s="198"/>
      <c r="T157" s="211">
        <f t="shared" si="6"/>
        <v>14700812.695531987</v>
      </c>
      <c r="U157" s="198"/>
      <c r="V157" s="198"/>
      <c r="W157" s="198"/>
      <c r="X157" s="198"/>
      <c r="Y157" s="211">
        <f t="shared" si="6"/>
        <v>15587134.903297981</v>
      </c>
      <c r="Z157" s="198"/>
      <c r="AA157" s="198"/>
      <c r="AB157" s="198"/>
      <c r="AC157" s="198"/>
      <c r="AD157" s="211">
        <f t="shared" si="6"/>
        <v>16106219.305063974</v>
      </c>
      <c r="AE157" s="212">
        <f>SUM(J157:AD157)</f>
        <v>71339851.071659938</v>
      </c>
    </row>
    <row r="158" spans="1:31" ht="31.5" customHeight="1" x14ac:dyDescent="0.25"/>
    <row r="159" spans="1:31" ht="31.5" customHeight="1" x14ac:dyDescent="0.25"/>
  </sheetData>
  <mergeCells count="81">
    <mergeCell ref="A149:A156"/>
    <mergeCell ref="B149:B156"/>
    <mergeCell ref="C149:C153"/>
    <mergeCell ref="C154:C156"/>
    <mergeCell ref="A142:A148"/>
    <mergeCell ref="B142:B148"/>
    <mergeCell ref="C142:C145"/>
    <mergeCell ref="C146:C147"/>
    <mergeCell ref="C136:C137"/>
    <mergeCell ref="C138:C141"/>
    <mergeCell ref="A112:A114"/>
    <mergeCell ref="C112:C114"/>
    <mergeCell ref="A118:A125"/>
    <mergeCell ref="C120:C124"/>
    <mergeCell ref="A126:A130"/>
    <mergeCell ref="B126:B130"/>
    <mergeCell ref="C127:C128"/>
    <mergeCell ref="C129:C130"/>
    <mergeCell ref="A132:A135"/>
    <mergeCell ref="B132:B135"/>
    <mergeCell ref="C132:C135"/>
    <mergeCell ref="A136:A141"/>
    <mergeCell ref="B136:B141"/>
    <mergeCell ref="A75:A80"/>
    <mergeCell ref="C75:C78"/>
    <mergeCell ref="A81:A88"/>
    <mergeCell ref="C83:C86"/>
    <mergeCell ref="C87:C88"/>
    <mergeCell ref="A36:AE36"/>
    <mergeCell ref="A38:A43"/>
    <mergeCell ref="C38:C42"/>
    <mergeCell ref="A44:A48"/>
    <mergeCell ref="C44:C46"/>
    <mergeCell ref="C47:C48"/>
    <mergeCell ref="C23:C24"/>
    <mergeCell ref="C25:C28"/>
    <mergeCell ref="A29:A33"/>
    <mergeCell ref="C29:C31"/>
    <mergeCell ref="C32:C33"/>
    <mergeCell ref="A13:AE13"/>
    <mergeCell ref="A15:A22"/>
    <mergeCell ref="B15:B22"/>
    <mergeCell ref="C15:C17"/>
    <mergeCell ref="C18:C22"/>
    <mergeCell ref="A1:AE1"/>
    <mergeCell ref="J2:AD2"/>
    <mergeCell ref="A5:A8"/>
    <mergeCell ref="B5:B8"/>
    <mergeCell ref="C5:C7"/>
    <mergeCell ref="F3:J3"/>
    <mergeCell ref="K3:O3"/>
    <mergeCell ref="P3:T3"/>
    <mergeCell ref="U3:Y3"/>
    <mergeCell ref="Z3:AD3"/>
    <mergeCell ref="C101:C103"/>
    <mergeCell ref="C104:C111"/>
    <mergeCell ref="A89:A97"/>
    <mergeCell ref="C89:C91"/>
    <mergeCell ref="C92:C97"/>
    <mergeCell ref="A99:AE99"/>
    <mergeCell ref="A101:A103"/>
    <mergeCell ref="A105:A111"/>
    <mergeCell ref="A69:A71"/>
    <mergeCell ref="C69:C71"/>
    <mergeCell ref="A73:AE73"/>
    <mergeCell ref="A49:A54"/>
    <mergeCell ref="C49:C53"/>
    <mergeCell ref="A56:AE56"/>
    <mergeCell ref="C58:C60"/>
    <mergeCell ref="A58:A64"/>
    <mergeCell ref="C61:C62"/>
    <mergeCell ref="C63:C64"/>
    <mergeCell ref="A65:A68"/>
    <mergeCell ref="C65:C66"/>
    <mergeCell ref="C67:C68"/>
    <mergeCell ref="A9:A10"/>
    <mergeCell ref="B9:B10"/>
    <mergeCell ref="A11:A12"/>
    <mergeCell ref="B11:B12"/>
    <mergeCell ref="A4:C4"/>
    <mergeCell ref="C11:C12"/>
  </mergeCells>
  <pageMargins left="0.7" right="0.7" top="0.75" bottom="0.75" header="0.3" footer="0.3"/>
  <pageSetup paperSize="9" scale="37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Action plan on quaterly basis</vt:lpstr>
    </vt:vector>
  </TitlesOfParts>
  <Company>Toshiba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2017-10-10T17:06:56Z</cp:lastPrinted>
  <dcterms:created xsi:type="dcterms:W3CDTF">2017-08-30T10:12:49Z</dcterms:created>
  <dcterms:modified xsi:type="dcterms:W3CDTF">2020-02-10T11:35:31Z</dcterms:modified>
</cp:coreProperties>
</file>