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Unicef 2020\BELDS\Work\Examples of Action Plans\"/>
    </mc:Choice>
  </mc:AlternateContent>
  <xr:revisionPtr revIDLastSave="0" documentId="8_{162CCA94-24EC-4C6B-B60F-98EB66865652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Intro" sheetId="1" r:id="rId1"/>
    <sheet name="FA 1" sheetId="10" r:id="rId2"/>
    <sheet name="FA 2" sheetId="3" r:id="rId3"/>
    <sheet name="FA 3" sheetId="8" r:id="rId4"/>
    <sheet name="FA 4" sheetId="11" r:id="rId5"/>
    <sheet name="FA 5" sheetId="12" r:id="rId6"/>
    <sheet name="FA 6" sheetId="13" r:id="rId7"/>
    <sheet name="Summary" sheetId="14" r:id="rId8"/>
    <sheet name="DFAT" sheetId="9" state="hidden" r:id="rId9"/>
    <sheet name="Tbles for plan" sheetId="15" state="hidden" r:id="rId10"/>
  </sheets>
  <externalReferences>
    <externalReference r:id="rId11"/>
    <externalReference r:id="rId12"/>
    <externalReference r:id="rId13"/>
  </externalReferences>
  <definedNames>
    <definedName name="Av_sals">'[1]Budg calcs GT'!$T$69</definedName>
    <definedName name="Hist_elem_enrolment">'[2]Data Entry'!$A$7:$U$11</definedName>
    <definedName name="Inflation">'[1]Budg calcs GT'!$T$68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3" i="13" l="1"/>
  <c r="X25" i="13"/>
  <c r="X43" i="12"/>
  <c r="P43" i="12"/>
  <c r="X42" i="12"/>
  <c r="P42" i="12"/>
  <c r="AD7" i="12"/>
  <c r="V7" i="12"/>
  <c r="Y51" i="11"/>
  <c r="Q51" i="11"/>
  <c r="X60" i="3"/>
  <c r="P60" i="3"/>
  <c r="X59" i="3"/>
  <c r="P59" i="3"/>
  <c r="X58" i="3"/>
  <c r="P58" i="3"/>
  <c r="X57" i="3"/>
  <c r="P57" i="3"/>
  <c r="X65" i="10"/>
  <c r="P65" i="10"/>
  <c r="X64" i="10"/>
  <c r="P64" i="10"/>
  <c r="X68" i="10"/>
  <c r="P68" i="10"/>
  <c r="X67" i="10"/>
  <c r="P67" i="10"/>
  <c r="X66" i="10"/>
  <c r="P66" i="10"/>
  <c r="D100" i="15" l="1"/>
  <c r="C100" i="15"/>
  <c r="D93" i="15"/>
  <c r="C93" i="15"/>
  <c r="D92" i="15"/>
  <c r="C92" i="15"/>
  <c r="D91" i="15"/>
  <c r="C91" i="15"/>
  <c r="D90" i="15"/>
  <c r="C90" i="15"/>
  <c r="D89" i="15"/>
  <c r="C89" i="15"/>
  <c r="D88" i="15"/>
  <c r="C88" i="15"/>
  <c r="D87" i="15"/>
  <c r="C87" i="15"/>
  <c r="D83" i="15"/>
  <c r="C83" i="15"/>
  <c r="D82" i="15"/>
  <c r="C82" i="15"/>
  <c r="D81" i="15"/>
  <c r="C81" i="15"/>
  <c r="D80" i="15"/>
  <c r="C80" i="15"/>
  <c r="D79" i="15"/>
  <c r="C79" i="15"/>
  <c r="D74" i="15"/>
  <c r="C74" i="15"/>
  <c r="D73" i="15"/>
  <c r="C73" i="15"/>
  <c r="D72" i="15"/>
  <c r="C72" i="15"/>
  <c r="D71" i="15"/>
  <c r="C71" i="15"/>
  <c r="B71" i="15"/>
  <c r="B89" i="15" s="1"/>
  <c r="D70" i="15"/>
  <c r="C70" i="15"/>
  <c r="D69" i="15"/>
  <c r="C69" i="15"/>
  <c r="D65" i="15"/>
  <c r="C65" i="15"/>
  <c r="B65" i="15"/>
  <c r="B74" i="15" s="1"/>
  <c r="B92" i="15" s="1"/>
  <c r="D64" i="15"/>
  <c r="C64" i="15"/>
  <c r="B64" i="15"/>
  <c r="B73" i="15" s="1"/>
  <c r="B91" i="15" s="1"/>
  <c r="D63" i="15"/>
  <c r="C63" i="15"/>
  <c r="B63" i="15"/>
  <c r="B72" i="15" s="1"/>
  <c r="B90" i="15" s="1"/>
  <c r="D62" i="15"/>
  <c r="C62" i="15"/>
  <c r="B62" i="15"/>
  <c r="D61" i="15"/>
  <c r="C61" i="15"/>
  <c r="B61" i="15"/>
  <c r="B70" i="15" s="1"/>
  <c r="B88" i="15" s="1"/>
  <c r="D60" i="15"/>
  <c r="C60" i="15"/>
  <c r="B60" i="15"/>
  <c r="B69" i="15" s="1"/>
  <c r="B87" i="15" s="1"/>
  <c r="D56" i="15"/>
  <c r="C56" i="15"/>
  <c r="D55" i="15"/>
  <c r="C55" i="15"/>
  <c r="D54" i="15"/>
  <c r="C54" i="15"/>
  <c r="D53" i="15"/>
  <c r="C53" i="15"/>
  <c r="D52" i="15"/>
  <c r="C52" i="15"/>
  <c r="D51" i="15"/>
  <c r="C51" i="15"/>
  <c r="D48" i="15"/>
  <c r="C48" i="15"/>
  <c r="D47" i="15"/>
  <c r="C47" i="15"/>
  <c r="D46" i="15"/>
  <c r="C46" i="15"/>
  <c r="D45" i="15"/>
  <c r="C45" i="15"/>
  <c r="D44" i="15"/>
  <c r="C44" i="15"/>
  <c r="D43" i="15"/>
  <c r="C43" i="15"/>
  <c r="D42" i="15"/>
  <c r="C42" i="15"/>
  <c r="R30" i="15"/>
  <c r="Q30" i="15"/>
  <c r="P30" i="15"/>
  <c r="O30" i="15"/>
  <c r="N30" i="15"/>
  <c r="B29" i="15" s="1"/>
  <c r="R29" i="15"/>
  <c r="Q29" i="15"/>
  <c r="P29" i="15"/>
  <c r="O29" i="15"/>
  <c r="N29" i="15"/>
  <c r="B28" i="15" s="1"/>
  <c r="R28" i="15"/>
  <c r="Q28" i="15"/>
  <c r="P28" i="15"/>
  <c r="O28" i="15"/>
  <c r="N28" i="15"/>
  <c r="B27" i="15" s="1"/>
  <c r="R27" i="15"/>
  <c r="Q27" i="15"/>
  <c r="P27" i="15"/>
  <c r="O27" i="15"/>
  <c r="N27" i="15"/>
  <c r="B26" i="15" s="1"/>
  <c r="B36" i="15" s="1"/>
  <c r="R26" i="15"/>
  <c r="Q26" i="15"/>
  <c r="P26" i="15"/>
  <c r="O26" i="15"/>
  <c r="N26" i="15"/>
  <c r="B25" i="15" s="1"/>
  <c r="B35" i="15" s="1"/>
  <c r="R25" i="15"/>
  <c r="Q25" i="15"/>
  <c r="P25" i="15"/>
  <c r="O25" i="15"/>
  <c r="N25" i="15"/>
  <c r="B24" i="15" s="1"/>
  <c r="B34" i="15" s="1"/>
  <c r="D19" i="15"/>
  <c r="C19" i="15"/>
  <c r="D18" i="15"/>
  <c r="C18" i="15"/>
  <c r="D17" i="15"/>
  <c r="C17" i="15"/>
  <c r="D16" i="15"/>
  <c r="C16" i="15"/>
  <c r="D15" i="15"/>
  <c r="C15" i="15"/>
  <c r="D14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D3" i="15"/>
  <c r="C3" i="15"/>
  <c r="R31" i="15" l="1"/>
  <c r="C97" i="15"/>
  <c r="D84" i="15"/>
  <c r="P31" i="15"/>
  <c r="C57" i="15"/>
  <c r="C99" i="15" s="1"/>
  <c r="Q31" i="15"/>
  <c r="O31" i="15"/>
  <c r="D75" i="15"/>
  <c r="D101" i="15" s="1"/>
  <c r="D57" i="15"/>
  <c r="D99" i="15" s="1"/>
  <c r="C20" i="15"/>
  <c r="C28" i="15" s="1"/>
  <c r="D20" i="15"/>
  <c r="D24" i="15" s="1"/>
  <c r="D66" i="15"/>
  <c r="D98" i="15" s="1"/>
  <c r="C66" i="15"/>
  <c r="C98" i="15" s="1"/>
  <c r="D97" i="15"/>
  <c r="C75" i="15"/>
  <c r="C101" i="15" s="1"/>
  <c r="C84" i="15"/>
  <c r="X14" i="10"/>
  <c r="P14" i="10"/>
  <c r="W36" i="13"/>
  <c r="Y37" i="3"/>
  <c r="Y36" i="3"/>
  <c r="Q37" i="3"/>
  <c r="Q36" i="3"/>
  <c r="V17" i="8"/>
  <c r="V16" i="8"/>
  <c r="Q52" i="10"/>
  <c r="R52" i="10"/>
  <c r="S52" i="10"/>
  <c r="T52" i="10"/>
  <c r="U52" i="10"/>
  <c r="V52" i="10"/>
  <c r="W52" i="10"/>
  <c r="Y52" i="10"/>
  <c r="Z52" i="10"/>
  <c r="AA52" i="10"/>
  <c r="AB52" i="10"/>
  <c r="AC52" i="10"/>
  <c r="AD52" i="10"/>
  <c r="AE52" i="10"/>
  <c r="X33" i="10"/>
  <c r="P33" i="10"/>
  <c r="AA32" i="10"/>
  <c r="X34" i="10"/>
  <c r="P34" i="10"/>
  <c r="Y35" i="3"/>
  <c r="Q35" i="3"/>
  <c r="Q38" i="3"/>
  <c r="Y38" i="3" s="1"/>
  <c r="P44" i="13"/>
  <c r="X44" i="13"/>
  <c r="AD17" i="8" l="1"/>
  <c r="P17" i="8"/>
  <c r="AD16" i="8"/>
  <c r="P16" i="8"/>
  <c r="C103" i="15"/>
  <c r="C104" i="15" s="1"/>
  <c r="D26" i="15"/>
  <c r="D36" i="15" s="1"/>
  <c r="D25" i="15"/>
  <c r="D35" i="15" s="1"/>
  <c r="D28" i="15"/>
  <c r="C26" i="15"/>
  <c r="C36" i="15" s="1"/>
  <c r="C29" i="15"/>
  <c r="D29" i="15"/>
  <c r="D103" i="15"/>
  <c r="D104" i="15" s="1"/>
  <c r="D27" i="15"/>
  <c r="C24" i="15"/>
  <c r="C34" i="15" s="1"/>
  <c r="C25" i="15"/>
  <c r="C35" i="15" s="1"/>
  <c r="C27" i="15"/>
  <c r="D34" i="15"/>
  <c r="Q42" i="13"/>
  <c r="Y42" i="13" s="1"/>
  <c r="X42" i="13" s="1"/>
  <c r="Y88" i="13"/>
  <c r="X88" i="13" s="1"/>
  <c r="Q88" i="13"/>
  <c r="P88" i="13" s="1"/>
  <c r="Q18" i="10"/>
  <c r="R18" i="10"/>
  <c r="S18" i="10"/>
  <c r="T18" i="10"/>
  <c r="U18" i="10"/>
  <c r="V18" i="10"/>
  <c r="W18" i="10"/>
  <c r="Y18" i="10"/>
  <c r="Z18" i="10"/>
  <c r="AA18" i="10"/>
  <c r="AB18" i="10"/>
  <c r="AC18" i="10"/>
  <c r="AD18" i="10"/>
  <c r="AE18" i="10"/>
  <c r="X17" i="10"/>
  <c r="P17" i="10"/>
  <c r="X16" i="10"/>
  <c r="P16" i="10"/>
  <c r="X15" i="10"/>
  <c r="P15" i="10"/>
  <c r="P26" i="12"/>
  <c r="P27" i="12"/>
  <c r="Y48" i="3"/>
  <c r="Y46" i="3" s="1"/>
  <c r="X46" i="3" s="1"/>
  <c r="Q48" i="3"/>
  <c r="Q46" i="3" s="1"/>
  <c r="P46" i="3" s="1"/>
  <c r="AE49" i="3"/>
  <c r="AD49" i="3"/>
  <c r="AC49" i="3"/>
  <c r="AB49" i="3"/>
  <c r="AA49" i="3"/>
  <c r="Z49" i="3"/>
  <c r="W49" i="3"/>
  <c r="V49" i="3"/>
  <c r="U49" i="3"/>
  <c r="T49" i="3"/>
  <c r="S49" i="3"/>
  <c r="R49" i="3"/>
  <c r="X47" i="3"/>
  <c r="P47" i="3"/>
  <c r="Y41" i="11"/>
  <c r="X41" i="11" s="1"/>
  <c r="X43" i="11"/>
  <c r="Q43" i="11"/>
  <c r="Q41" i="11" s="1"/>
  <c r="P41" i="11" s="1"/>
  <c r="Y37" i="13"/>
  <c r="Q37" i="13"/>
  <c r="Q30" i="13" s="1"/>
  <c r="P30" i="13" s="1"/>
  <c r="Y42" i="11"/>
  <c r="Q42" i="11"/>
  <c r="P42" i="11" s="1"/>
  <c r="Y38" i="13"/>
  <c r="X38" i="13" s="1"/>
  <c r="Q38" i="13"/>
  <c r="P38" i="13" s="1"/>
  <c r="Y36" i="13"/>
  <c r="X36" i="13" s="1"/>
  <c r="Q39" i="13"/>
  <c r="P39" i="13" s="1"/>
  <c r="Y23" i="13"/>
  <c r="X23" i="13" s="1"/>
  <c r="Q23" i="13"/>
  <c r="P23" i="13" s="1"/>
  <c r="X39" i="13"/>
  <c r="X40" i="13"/>
  <c r="P40" i="13"/>
  <c r="Y21" i="11"/>
  <c r="X26" i="11"/>
  <c r="P26" i="11"/>
  <c r="Y15" i="11"/>
  <c r="Q15" i="11"/>
  <c r="Y16" i="11"/>
  <c r="X24" i="11"/>
  <c r="X25" i="11"/>
  <c r="X27" i="11"/>
  <c r="X28" i="11"/>
  <c r="Q27" i="11"/>
  <c r="P27" i="11" s="1"/>
  <c r="Y18" i="11"/>
  <c r="Q18" i="11"/>
  <c r="P24" i="11"/>
  <c r="P25" i="11"/>
  <c r="P28" i="11"/>
  <c r="R29" i="11"/>
  <c r="S29" i="11"/>
  <c r="T29" i="11"/>
  <c r="U29" i="11"/>
  <c r="Z29" i="11"/>
  <c r="AA29" i="11"/>
  <c r="AB29" i="11"/>
  <c r="AC29" i="11"/>
  <c r="AE29" i="11"/>
  <c r="AA82" i="13"/>
  <c r="Q82" i="13"/>
  <c r="P82" i="13" s="1"/>
  <c r="Q83" i="13"/>
  <c r="P83" i="13" s="1"/>
  <c r="Q21" i="8"/>
  <c r="Q20" i="8"/>
  <c r="P20" i="8" s="1"/>
  <c r="Q19" i="8"/>
  <c r="P19" i="8" s="1"/>
  <c r="X38" i="3"/>
  <c r="Q39" i="3"/>
  <c r="P38" i="3"/>
  <c r="R39" i="3"/>
  <c r="S39" i="3"/>
  <c r="T39" i="3"/>
  <c r="U39" i="3"/>
  <c r="V39" i="3"/>
  <c r="W39" i="3"/>
  <c r="Z39" i="3"/>
  <c r="AA39" i="3"/>
  <c r="AB39" i="3"/>
  <c r="AC39" i="3"/>
  <c r="AD39" i="3"/>
  <c r="AE39" i="3"/>
  <c r="Y17" i="3"/>
  <c r="Y9" i="3" s="1"/>
  <c r="X9" i="3" s="1"/>
  <c r="Q17" i="3"/>
  <c r="Q9" i="3" s="1"/>
  <c r="Y18" i="3"/>
  <c r="Y11" i="3" s="1"/>
  <c r="X11" i="3" s="1"/>
  <c r="Q18" i="3"/>
  <c r="Q11" i="3" s="1"/>
  <c r="P11" i="3" s="1"/>
  <c r="Y30" i="8"/>
  <c r="Y36" i="8" s="1"/>
  <c r="Q30" i="8"/>
  <c r="Q36" i="8" s="1"/>
  <c r="Y57" i="8"/>
  <c r="Q57" i="8"/>
  <c r="P57" i="8" s="1"/>
  <c r="E66" i="8"/>
  <c r="Q64" i="8"/>
  <c r="Y64" i="8" s="1"/>
  <c r="Y85" i="13"/>
  <c r="X85" i="13" s="1"/>
  <c r="Q85" i="13"/>
  <c r="P85" i="13" s="1"/>
  <c r="Y89" i="13"/>
  <c r="X89" i="13" s="1"/>
  <c r="Q89" i="13"/>
  <c r="P89" i="13" s="1"/>
  <c r="Y58" i="13"/>
  <c r="X58" i="13" s="1"/>
  <c r="Q58" i="13"/>
  <c r="Q91" i="13"/>
  <c r="Y91" i="13" s="1"/>
  <c r="X91" i="13" s="1"/>
  <c r="Q65" i="13"/>
  <c r="P65" i="13" s="1"/>
  <c r="Q43" i="13"/>
  <c r="P43" i="13" s="1"/>
  <c r="Y7" i="13"/>
  <c r="Q7" i="13"/>
  <c r="Q9" i="13"/>
  <c r="Q64" i="13"/>
  <c r="P64" i="13" s="1"/>
  <c r="Y80" i="13"/>
  <c r="E96" i="13"/>
  <c r="Y61" i="13"/>
  <c r="X61" i="13" s="1"/>
  <c r="P61" i="13"/>
  <c r="P25" i="13"/>
  <c r="AE10" i="13"/>
  <c r="X26" i="13"/>
  <c r="X43" i="13"/>
  <c r="X60" i="13"/>
  <c r="X92" i="13"/>
  <c r="P92" i="13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Q33" i="12"/>
  <c r="R33" i="12"/>
  <c r="S33" i="12"/>
  <c r="T33" i="12"/>
  <c r="U33" i="12"/>
  <c r="V33" i="12"/>
  <c r="W33" i="12"/>
  <c r="Y33" i="12"/>
  <c r="Z33" i="12"/>
  <c r="AA33" i="12"/>
  <c r="AB33" i="12"/>
  <c r="AC33" i="12"/>
  <c r="AD33" i="12"/>
  <c r="AE33" i="12"/>
  <c r="AE37" i="12" s="1"/>
  <c r="Q10" i="14" s="1"/>
  <c r="X32" i="12"/>
  <c r="X31" i="12"/>
  <c r="X30" i="12"/>
  <c r="X29" i="12"/>
  <c r="X28" i="12"/>
  <c r="X25" i="12"/>
  <c r="X24" i="12"/>
  <c r="X23" i="12"/>
  <c r="X22" i="12"/>
  <c r="X21" i="12"/>
  <c r="X20" i="12"/>
  <c r="X19" i="12"/>
  <c r="P20" i="12"/>
  <c r="P21" i="12"/>
  <c r="P22" i="12"/>
  <c r="P23" i="12"/>
  <c r="P24" i="12"/>
  <c r="P25" i="12"/>
  <c r="P28" i="12"/>
  <c r="P29" i="12"/>
  <c r="P30" i="12"/>
  <c r="P31" i="12"/>
  <c r="P32" i="12"/>
  <c r="P19" i="12"/>
  <c r="P36" i="12"/>
  <c r="Q97" i="13"/>
  <c r="R97" i="13"/>
  <c r="S97" i="13"/>
  <c r="T97" i="13"/>
  <c r="U97" i="13"/>
  <c r="V97" i="13"/>
  <c r="W97" i="13"/>
  <c r="X97" i="13"/>
  <c r="Y97" i="13"/>
  <c r="Z97" i="13"/>
  <c r="AA97" i="13"/>
  <c r="AB97" i="13"/>
  <c r="AC97" i="13"/>
  <c r="AD97" i="13"/>
  <c r="AE97" i="13"/>
  <c r="R66" i="13"/>
  <c r="S66" i="13"/>
  <c r="T66" i="13"/>
  <c r="U66" i="13"/>
  <c r="V66" i="13"/>
  <c r="W66" i="13"/>
  <c r="Z66" i="13"/>
  <c r="AA66" i="13"/>
  <c r="AB66" i="13"/>
  <c r="AC66" i="13"/>
  <c r="AD66" i="13"/>
  <c r="AE66" i="13"/>
  <c r="P97" i="13"/>
  <c r="R94" i="13"/>
  <c r="S94" i="13"/>
  <c r="T94" i="13"/>
  <c r="U94" i="13"/>
  <c r="V94" i="13"/>
  <c r="W94" i="13"/>
  <c r="Z94" i="13"/>
  <c r="AB94" i="13"/>
  <c r="AC94" i="13"/>
  <c r="AD94" i="13"/>
  <c r="AE94" i="13"/>
  <c r="R46" i="13"/>
  <c r="S46" i="13"/>
  <c r="T46" i="13"/>
  <c r="U46" i="13"/>
  <c r="V46" i="13"/>
  <c r="W46" i="13"/>
  <c r="Z46" i="13"/>
  <c r="AA46" i="13"/>
  <c r="AB46" i="13"/>
  <c r="AC46" i="13"/>
  <c r="AD46" i="13"/>
  <c r="AE46" i="13"/>
  <c r="P21" i="13"/>
  <c r="X21" i="13"/>
  <c r="P22" i="13"/>
  <c r="X22" i="13"/>
  <c r="P24" i="13"/>
  <c r="X24" i="13"/>
  <c r="P26" i="13"/>
  <c r="P27" i="13"/>
  <c r="X27" i="13"/>
  <c r="P28" i="13"/>
  <c r="X28" i="13"/>
  <c r="P31" i="13"/>
  <c r="X31" i="13"/>
  <c r="P102" i="13"/>
  <c r="X102" i="13"/>
  <c r="P33" i="13"/>
  <c r="P35" i="13"/>
  <c r="X35" i="13"/>
  <c r="P41" i="13"/>
  <c r="X41" i="13"/>
  <c r="P45" i="13"/>
  <c r="X45" i="13"/>
  <c r="X20" i="13"/>
  <c r="X19" i="13"/>
  <c r="P20" i="13"/>
  <c r="P19" i="13"/>
  <c r="X93" i="13"/>
  <c r="X90" i="13"/>
  <c r="X87" i="13"/>
  <c r="X103" i="13"/>
  <c r="X86" i="13"/>
  <c r="X84" i="13"/>
  <c r="X83" i="13"/>
  <c r="X79" i="13"/>
  <c r="X78" i="13"/>
  <c r="P86" i="13"/>
  <c r="P103" i="13"/>
  <c r="P87" i="13"/>
  <c r="P90" i="13"/>
  <c r="P93" i="13"/>
  <c r="P84" i="13"/>
  <c r="P81" i="13"/>
  <c r="P80" i="13"/>
  <c r="P79" i="13"/>
  <c r="P78" i="13"/>
  <c r="X64" i="13"/>
  <c r="X63" i="13"/>
  <c r="X62" i="13"/>
  <c r="X59" i="13"/>
  <c r="X57" i="13"/>
  <c r="P59" i="13"/>
  <c r="P60" i="13"/>
  <c r="P62" i="13"/>
  <c r="P63" i="13"/>
  <c r="P57" i="13"/>
  <c r="R70" i="13"/>
  <c r="Q71" i="13"/>
  <c r="R65" i="8"/>
  <c r="S65" i="8"/>
  <c r="T65" i="8"/>
  <c r="U65" i="8"/>
  <c r="V65" i="8"/>
  <c r="W65" i="8"/>
  <c r="Z65" i="8"/>
  <c r="AA65" i="8"/>
  <c r="AB65" i="8"/>
  <c r="AC65" i="8"/>
  <c r="AD65" i="8"/>
  <c r="X63" i="8"/>
  <c r="X62" i="8"/>
  <c r="X61" i="8"/>
  <c r="X60" i="8"/>
  <c r="X59" i="8"/>
  <c r="X58" i="8"/>
  <c r="P58" i="8"/>
  <c r="P59" i="8"/>
  <c r="P60" i="8"/>
  <c r="P61" i="8"/>
  <c r="P62" i="8"/>
  <c r="P63" i="8"/>
  <c r="Q57" i="11"/>
  <c r="R57" i="11"/>
  <c r="S57" i="11"/>
  <c r="T57" i="11"/>
  <c r="U57" i="11"/>
  <c r="V57" i="11"/>
  <c r="W57" i="11"/>
  <c r="X57" i="11"/>
  <c r="Y57" i="11"/>
  <c r="Z57" i="11"/>
  <c r="AA57" i="11"/>
  <c r="AB57" i="11"/>
  <c r="AC57" i="11"/>
  <c r="AD57" i="11"/>
  <c r="AE57" i="11"/>
  <c r="P57" i="11"/>
  <c r="Q54" i="11"/>
  <c r="R54" i="11"/>
  <c r="S54" i="11"/>
  <c r="T54" i="11"/>
  <c r="U54" i="11"/>
  <c r="U58" i="11" s="1"/>
  <c r="G9" i="14" s="1"/>
  <c r="V54" i="11"/>
  <c r="W54" i="11"/>
  <c r="Y54" i="11"/>
  <c r="Z54" i="11"/>
  <c r="AA54" i="11"/>
  <c r="AB54" i="11"/>
  <c r="AC54" i="11"/>
  <c r="AD54" i="11"/>
  <c r="AE54" i="11"/>
  <c r="R45" i="11"/>
  <c r="S45" i="11"/>
  <c r="T45" i="11"/>
  <c r="U45" i="11"/>
  <c r="V45" i="11"/>
  <c r="W45" i="11"/>
  <c r="Z45" i="11"/>
  <c r="AA45" i="11"/>
  <c r="AB45" i="11"/>
  <c r="AC45" i="11"/>
  <c r="AD45" i="11"/>
  <c r="AE45" i="11"/>
  <c r="X53" i="11"/>
  <c r="X52" i="11"/>
  <c r="X51" i="11"/>
  <c r="P53" i="11"/>
  <c r="P52" i="11"/>
  <c r="P51" i="11"/>
  <c r="X44" i="11"/>
  <c r="X40" i="11"/>
  <c r="X39" i="11"/>
  <c r="X38" i="11"/>
  <c r="P38" i="11"/>
  <c r="P39" i="11"/>
  <c r="P40" i="11"/>
  <c r="P44" i="11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P69" i="8"/>
  <c r="Q47" i="8"/>
  <c r="R47" i="8"/>
  <c r="S47" i="8"/>
  <c r="T47" i="8"/>
  <c r="U47" i="8"/>
  <c r="V47" i="8"/>
  <c r="W47" i="8"/>
  <c r="Y47" i="8"/>
  <c r="Z47" i="8"/>
  <c r="AA47" i="8"/>
  <c r="AB47" i="8"/>
  <c r="AC47" i="8"/>
  <c r="AD47" i="8"/>
  <c r="AE47" i="8"/>
  <c r="X46" i="8"/>
  <c r="P46" i="8"/>
  <c r="X45" i="8"/>
  <c r="X44" i="8"/>
  <c r="X43" i="8"/>
  <c r="P45" i="8"/>
  <c r="P44" i="8"/>
  <c r="P43" i="8"/>
  <c r="R36" i="8"/>
  <c r="S36" i="8"/>
  <c r="T36" i="8"/>
  <c r="U36" i="8"/>
  <c r="V36" i="8"/>
  <c r="W36" i="8"/>
  <c r="Z36" i="8"/>
  <c r="AA36" i="8"/>
  <c r="AB36" i="8"/>
  <c r="AC36" i="8"/>
  <c r="AC70" i="8" s="1"/>
  <c r="O8" i="14" s="1"/>
  <c r="AD36" i="8"/>
  <c r="AE36" i="8"/>
  <c r="X31" i="8"/>
  <c r="X32" i="8"/>
  <c r="X33" i="8"/>
  <c r="X34" i="8"/>
  <c r="X35" i="8"/>
  <c r="P31" i="8"/>
  <c r="P32" i="8"/>
  <c r="P33" i="8"/>
  <c r="P34" i="8"/>
  <c r="P35" i="8"/>
  <c r="R22" i="8"/>
  <c r="S22" i="8"/>
  <c r="T22" i="8"/>
  <c r="U22" i="8"/>
  <c r="V22" i="8"/>
  <c r="W22" i="8"/>
  <c r="Z22" i="8"/>
  <c r="AA22" i="8"/>
  <c r="AB22" i="8"/>
  <c r="AC22" i="8"/>
  <c r="AD22" i="8"/>
  <c r="AE22" i="8"/>
  <c r="X18" i="8"/>
  <c r="X14" i="8"/>
  <c r="P14" i="8"/>
  <c r="P18" i="8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P51" i="3"/>
  <c r="X31" i="3"/>
  <c r="X32" i="3"/>
  <c r="X33" i="3"/>
  <c r="X34" i="3"/>
  <c r="X35" i="3"/>
  <c r="X36" i="3"/>
  <c r="X37" i="3"/>
  <c r="P32" i="3"/>
  <c r="P33" i="3"/>
  <c r="P34" i="3"/>
  <c r="P35" i="3"/>
  <c r="P36" i="3"/>
  <c r="P37" i="3"/>
  <c r="X30" i="3"/>
  <c r="P30" i="3"/>
  <c r="R20" i="3"/>
  <c r="S20" i="3"/>
  <c r="T20" i="3"/>
  <c r="U20" i="3"/>
  <c r="V20" i="3"/>
  <c r="W20" i="3"/>
  <c r="Z20" i="3"/>
  <c r="AA20" i="3"/>
  <c r="AB20" i="3"/>
  <c r="AC20" i="3"/>
  <c r="AD20" i="3"/>
  <c r="AE20" i="3"/>
  <c r="X19" i="3"/>
  <c r="X16" i="3"/>
  <c r="X15" i="3"/>
  <c r="X14" i="3"/>
  <c r="X13" i="3"/>
  <c r="X12" i="3"/>
  <c r="X10" i="3"/>
  <c r="P10" i="3"/>
  <c r="P12" i="3"/>
  <c r="P13" i="3"/>
  <c r="P14" i="3"/>
  <c r="P15" i="3"/>
  <c r="P16" i="3"/>
  <c r="P19" i="3"/>
  <c r="X50" i="10"/>
  <c r="X49" i="10"/>
  <c r="X48" i="10"/>
  <c r="X47" i="10"/>
  <c r="P48" i="10"/>
  <c r="P49" i="10"/>
  <c r="P50" i="10"/>
  <c r="P47" i="10"/>
  <c r="Q56" i="10"/>
  <c r="C5" i="14" s="1"/>
  <c r="R56" i="10"/>
  <c r="D5" i="14" s="1"/>
  <c r="S56" i="10"/>
  <c r="E5" i="14" s="1"/>
  <c r="T56" i="10"/>
  <c r="F5" i="14" s="1"/>
  <c r="U56" i="10"/>
  <c r="G5" i="14" s="1"/>
  <c r="V56" i="10"/>
  <c r="H5" i="14" s="1"/>
  <c r="W56" i="10"/>
  <c r="I5" i="14" s="1"/>
  <c r="X56" i="10"/>
  <c r="J5" i="14" s="1"/>
  <c r="Y56" i="10"/>
  <c r="K5" i="14" s="1"/>
  <c r="Z56" i="10"/>
  <c r="L5" i="14" s="1"/>
  <c r="AA56" i="10"/>
  <c r="M5" i="14" s="1"/>
  <c r="AB56" i="10"/>
  <c r="N5" i="14" s="1"/>
  <c r="AC56" i="10"/>
  <c r="O5" i="14" s="1"/>
  <c r="AD56" i="10"/>
  <c r="P5" i="14" s="1"/>
  <c r="AE56" i="10"/>
  <c r="Q5" i="14" s="1"/>
  <c r="P56" i="10"/>
  <c r="B5" i="14" s="1"/>
  <c r="T70" i="8" l="1"/>
  <c r="F8" i="14" s="1"/>
  <c r="W70" i="8"/>
  <c r="I8" i="14" s="1"/>
  <c r="Y21" i="8"/>
  <c r="Y15" i="8" s="1"/>
  <c r="Q15" i="8"/>
  <c r="P15" i="8" s="1"/>
  <c r="X42" i="11"/>
  <c r="Y37" i="11"/>
  <c r="AE58" i="11"/>
  <c r="Q9" i="14" s="1"/>
  <c r="Y19" i="8"/>
  <c r="Q12" i="8"/>
  <c r="P12" i="8" s="1"/>
  <c r="Q37" i="11"/>
  <c r="Q45" i="11" s="1"/>
  <c r="D30" i="15"/>
  <c r="C30" i="15"/>
  <c r="Q29" i="13"/>
  <c r="P29" i="13" s="1"/>
  <c r="X54" i="11"/>
  <c r="P54" i="11"/>
  <c r="X18" i="3"/>
  <c r="AA70" i="8"/>
  <c r="M8" i="14" s="1"/>
  <c r="R70" i="8"/>
  <c r="D8" i="14" s="1"/>
  <c r="P42" i="13"/>
  <c r="Z70" i="8"/>
  <c r="L8" i="14" s="1"/>
  <c r="Q65" i="8"/>
  <c r="P43" i="11"/>
  <c r="U70" i="8"/>
  <c r="G8" i="14" s="1"/>
  <c r="P52" i="10"/>
  <c r="AB70" i="8"/>
  <c r="N8" i="14" s="1"/>
  <c r="S70" i="8"/>
  <c r="E8" i="14" s="1"/>
  <c r="AC52" i="3"/>
  <c r="O7" i="14" s="1"/>
  <c r="R52" i="3"/>
  <c r="AA52" i="3"/>
  <c r="Z52" i="3"/>
  <c r="L7" i="14" s="1"/>
  <c r="X64" i="8"/>
  <c r="Y65" i="8"/>
  <c r="X15" i="8"/>
  <c r="AC58" i="11"/>
  <c r="O9" i="14" s="1"/>
  <c r="P21" i="8"/>
  <c r="Y20" i="8"/>
  <c r="X20" i="8" s="1"/>
  <c r="AA58" i="11"/>
  <c r="M9" i="14" s="1"/>
  <c r="X48" i="3"/>
  <c r="X49" i="3" s="1"/>
  <c r="AE52" i="3"/>
  <c r="Q7" i="14" s="1"/>
  <c r="W52" i="3"/>
  <c r="I7" i="14" s="1"/>
  <c r="AB58" i="11"/>
  <c r="N9" i="14" s="1"/>
  <c r="P47" i="8"/>
  <c r="P64" i="8"/>
  <c r="Z58" i="11"/>
  <c r="L9" i="14" s="1"/>
  <c r="Q36" i="13"/>
  <c r="P36" i="13" s="1"/>
  <c r="Q13" i="8"/>
  <c r="P13" i="8" s="1"/>
  <c r="R58" i="11"/>
  <c r="D9" i="14" s="1"/>
  <c r="AD52" i="3"/>
  <c r="P7" i="14" s="1"/>
  <c r="T52" i="3"/>
  <c r="Q16" i="11"/>
  <c r="X37" i="11"/>
  <c r="X45" i="11" s="1"/>
  <c r="U52" i="3"/>
  <c r="G7" i="14" s="1"/>
  <c r="AB52" i="3"/>
  <c r="N7" i="14" s="1"/>
  <c r="X52" i="10"/>
  <c r="Y82" i="13"/>
  <c r="X82" i="13" s="1"/>
  <c r="P37" i="13"/>
  <c r="V52" i="3"/>
  <c r="H7" i="14" s="1"/>
  <c r="AD70" i="8"/>
  <c r="P8" i="14" s="1"/>
  <c r="V70" i="8"/>
  <c r="H8" i="14" s="1"/>
  <c r="S52" i="3"/>
  <c r="E7" i="14" s="1"/>
  <c r="Q66" i="13"/>
  <c r="P91" i="13"/>
  <c r="P94" i="13" s="1"/>
  <c r="Y29" i="13"/>
  <c r="X29" i="13" s="1"/>
  <c r="Y30" i="13"/>
  <c r="X30" i="13" s="1"/>
  <c r="Y65" i="13"/>
  <c r="X65" i="13" s="1"/>
  <c r="X66" i="13" s="1"/>
  <c r="X37" i="13"/>
  <c r="M7" i="14"/>
  <c r="Y49" i="3"/>
  <c r="D7" i="14"/>
  <c r="P18" i="3"/>
  <c r="X47" i="8"/>
  <c r="Y29" i="11"/>
  <c r="AA94" i="13"/>
  <c r="Q94" i="13"/>
  <c r="X17" i="3"/>
  <c r="F7" i="14"/>
  <c r="P31" i="3"/>
  <c r="P39" i="3" s="1"/>
  <c r="X39" i="3"/>
  <c r="Y39" i="3"/>
  <c r="P9" i="3"/>
  <c r="Y20" i="3"/>
  <c r="Q20" i="3"/>
  <c r="P17" i="3"/>
  <c r="X33" i="12"/>
  <c r="P33" i="12"/>
  <c r="X30" i="8"/>
  <c r="X36" i="8" s="1"/>
  <c r="P30" i="8"/>
  <c r="P36" i="8" s="1"/>
  <c r="P65" i="8"/>
  <c r="P58" i="13"/>
  <c r="P66" i="13" s="1"/>
  <c r="X80" i="13"/>
  <c r="AE98" i="13"/>
  <c r="Q11" i="14" s="1"/>
  <c r="X81" i="13"/>
  <c r="AD10" i="13"/>
  <c r="AD98" i="13" s="1"/>
  <c r="P11" i="14" s="1"/>
  <c r="AC10" i="13"/>
  <c r="AC98" i="13" s="1"/>
  <c r="O11" i="14" s="1"/>
  <c r="AB10" i="13"/>
  <c r="AB98" i="13" s="1"/>
  <c r="N11" i="14" s="1"/>
  <c r="AA10" i="13"/>
  <c r="Z10" i="13"/>
  <c r="Z98" i="13" s="1"/>
  <c r="L11" i="14" s="1"/>
  <c r="Y10" i="13"/>
  <c r="W10" i="13"/>
  <c r="W98" i="13" s="1"/>
  <c r="I11" i="14" s="1"/>
  <c r="V10" i="13"/>
  <c r="V98" i="13" s="1"/>
  <c r="H11" i="14" s="1"/>
  <c r="U10" i="13"/>
  <c r="U98" i="13" s="1"/>
  <c r="G11" i="14" s="1"/>
  <c r="T10" i="13"/>
  <c r="T98" i="13" s="1"/>
  <c r="F11" i="14" s="1"/>
  <c r="S10" i="13"/>
  <c r="S98" i="13" s="1"/>
  <c r="E11" i="14" s="1"/>
  <c r="R10" i="13"/>
  <c r="R98" i="13" s="1"/>
  <c r="D11" i="14" s="1"/>
  <c r="Q10" i="13"/>
  <c r="X9" i="13"/>
  <c r="P9" i="13"/>
  <c r="X8" i="13"/>
  <c r="P8" i="13"/>
  <c r="X7" i="13"/>
  <c r="P7" i="13"/>
  <c r="K53" i="9"/>
  <c r="J53" i="9"/>
  <c r="AC8" i="12"/>
  <c r="AC37" i="12" s="1"/>
  <c r="O10" i="14" s="1"/>
  <c r="AB8" i="12"/>
  <c r="AB37" i="12" s="1"/>
  <c r="N10" i="14" s="1"/>
  <c r="AA8" i="12"/>
  <c r="AA37" i="12" s="1"/>
  <c r="M10" i="14" s="1"/>
  <c r="Z8" i="12"/>
  <c r="Z37" i="12" s="1"/>
  <c r="L10" i="14" s="1"/>
  <c r="Y8" i="12"/>
  <c r="Y37" i="12" s="1"/>
  <c r="K10" i="14" s="1"/>
  <c r="U8" i="12"/>
  <c r="U37" i="12" s="1"/>
  <c r="G10" i="14" s="1"/>
  <c r="T8" i="12"/>
  <c r="T37" i="12" s="1"/>
  <c r="F10" i="14" s="1"/>
  <c r="S8" i="12"/>
  <c r="S37" i="12" s="1"/>
  <c r="E10" i="14" s="1"/>
  <c r="R8" i="12"/>
  <c r="R37" i="12" s="1"/>
  <c r="D10" i="14" s="1"/>
  <c r="Q8" i="12"/>
  <c r="Q37" i="12" s="1"/>
  <c r="C10" i="14" s="1"/>
  <c r="W8" i="12"/>
  <c r="W37" i="12" s="1"/>
  <c r="I10" i="14" s="1"/>
  <c r="AD8" i="12"/>
  <c r="AD37" i="12" s="1"/>
  <c r="P10" i="14" s="1"/>
  <c r="X7" i="12"/>
  <c r="P7" i="12"/>
  <c r="AD18" i="11"/>
  <c r="AD29" i="11" s="1"/>
  <c r="AD58" i="11" s="1"/>
  <c r="P9" i="14" s="1"/>
  <c r="W19" i="11"/>
  <c r="W29" i="11" s="1"/>
  <c r="W58" i="11" s="1"/>
  <c r="I9" i="14" s="1"/>
  <c r="Q19" i="11"/>
  <c r="Q29" i="11" s="1"/>
  <c r="S58" i="11"/>
  <c r="E9" i="14" s="1"/>
  <c r="T58" i="11"/>
  <c r="F9" i="14" s="1"/>
  <c r="X21" i="11"/>
  <c r="X22" i="11"/>
  <c r="X23" i="11"/>
  <c r="P21" i="11"/>
  <c r="P22" i="11"/>
  <c r="P23" i="11"/>
  <c r="X20" i="11"/>
  <c r="X19" i="11"/>
  <c r="X17" i="11"/>
  <c r="X16" i="11"/>
  <c r="X15" i="11"/>
  <c r="P16" i="11"/>
  <c r="P17" i="11"/>
  <c r="P20" i="11"/>
  <c r="P15" i="11"/>
  <c r="X31" i="10"/>
  <c r="X35" i="10"/>
  <c r="X36" i="10"/>
  <c r="Q37" i="10"/>
  <c r="Q57" i="10" s="1"/>
  <c r="R37" i="10"/>
  <c r="R57" i="10" s="1"/>
  <c r="D6" i="14" s="1"/>
  <c r="S37" i="10"/>
  <c r="S57" i="10" s="1"/>
  <c r="T37" i="10"/>
  <c r="T57" i="10" s="1"/>
  <c r="V37" i="10"/>
  <c r="V57" i="10" s="1"/>
  <c r="W37" i="10"/>
  <c r="W57" i="10" s="1"/>
  <c r="Y37" i="10"/>
  <c r="Y57" i="10" s="1"/>
  <c r="Z37" i="10"/>
  <c r="Z57" i="10" s="1"/>
  <c r="AA37" i="10"/>
  <c r="AA57" i="10" s="1"/>
  <c r="AB37" i="10"/>
  <c r="AB57" i="10" s="1"/>
  <c r="AD37" i="10"/>
  <c r="AD57" i="10" s="1"/>
  <c r="AE37" i="10"/>
  <c r="AE57" i="10" s="1"/>
  <c r="P35" i="10"/>
  <c r="P36" i="10"/>
  <c r="X30" i="10"/>
  <c r="P31" i="10"/>
  <c r="P30" i="10"/>
  <c r="X13" i="10"/>
  <c r="X12" i="10"/>
  <c r="P13" i="10"/>
  <c r="P12" i="10"/>
  <c r="AI33" i="11"/>
  <c r="AH33" i="11"/>
  <c r="X32" i="10"/>
  <c r="U37" i="10"/>
  <c r="U57" i="10" s="1"/>
  <c r="AE57" i="8"/>
  <c r="H109" i="9"/>
  <c r="G109" i="9"/>
  <c r="F109" i="9"/>
  <c r="E109" i="9"/>
  <c r="D109" i="9"/>
  <c r="C109" i="9"/>
  <c r="B109" i="9"/>
  <c r="H102" i="9"/>
  <c r="G102" i="9"/>
  <c r="F102" i="9"/>
  <c r="E102" i="9"/>
  <c r="D102" i="9"/>
  <c r="C102" i="9"/>
  <c r="B102" i="9"/>
  <c r="Y92" i="9"/>
  <c r="V90" i="9"/>
  <c r="X90" i="9" s="1"/>
  <c r="W89" i="9"/>
  <c r="X89" i="9" s="1"/>
  <c r="X88" i="9"/>
  <c r="X87" i="9"/>
  <c r="S85" i="9"/>
  <c r="R85" i="9"/>
  <c r="Q85" i="9"/>
  <c r="P85" i="9"/>
  <c r="AJ83" i="9"/>
  <c r="AI83" i="9"/>
  <c r="AH83" i="9"/>
  <c r="AG83" i="9"/>
  <c r="AF83" i="9" s="1"/>
  <c r="AP82" i="9"/>
  <c r="AJ81" i="9"/>
  <c r="AI81" i="9"/>
  <c r="AH81" i="9"/>
  <c r="AG81" i="9"/>
  <c r="AF81" i="9" s="1"/>
  <c r="AJ80" i="9"/>
  <c r="AI80" i="9"/>
  <c r="AH80" i="9"/>
  <c r="AG80" i="9"/>
  <c r="AF80" i="9" s="1"/>
  <c r="AX78" i="9"/>
  <c r="AJ78" i="9" s="1"/>
  <c r="AW78" i="9"/>
  <c r="AI78" i="9" s="1"/>
  <c r="AV78" i="9"/>
  <c r="AH78" i="9" s="1"/>
  <c r="AU78" i="9"/>
  <c r="AG78" i="9" s="1"/>
  <c r="AF78" i="9" s="1"/>
  <c r="AJ77" i="9"/>
  <c r="AI77" i="9"/>
  <c r="AH77" i="9"/>
  <c r="AG77" i="9"/>
  <c r="H77" i="9"/>
  <c r="D77" i="9"/>
  <c r="D108" i="9" s="1"/>
  <c r="C77" i="9"/>
  <c r="C108" i="9" s="1"/>
  <c r="B77" i="9"/>
  <c r="B108" i="9" s="1"/>
  <c r="AX76" i="9"/>
  <c r="AJ76" i="9" s="1"/>
  <c r="AW76" i="9"/>
  <c r="AI76" i="9" s="1"/>
  <c r="AV76" i="9"/>
  <c r="AH76" i="9" s="1"/>
  <c r="AU76" i="9"/>
  <c r="AG76" i="9" s="1"/>
  <c r="AF76" i="9" s="1"/>
  <c r="AA75" i="9"/>
  <c r="Z75" i="9"/>
  <c r="Y75" i="9"/>
  <c r="X75" i="9"/>
  <c r="W75" i="9"/>
  <c r="V75" i="9"/>
  <c r="U75" i="9"/>
  <c r="T75" i="9"/>
  <c r="AX74" i="9"/>
  <c r="AJ74" i="9" s="1"/>
  <c r="AW74" i="9"/>
  <c r="AI74" i="9" s="1"/>
  <c r="AV74" i="9"/>
  <c r="AH74" i="9" s="1"/>
  <c r="AU74" i="9"/>
  <c r="AG74" i="9" s="1"/>
  <c r="AF74" i="9" s="1"/>
  <c r="AX73" i="9"/>
  <c r="AJ73" i="9" s="1"/>
  <c r="AW73" i="9"/>
  <c r="AI73" i="9" s="1"/>
  <c r="AV73" i="9"/>
  <c r="AH73" i="9" s="1"/>
  <c r="AU73" i="9"/>
  <c r="AG73" i="9" s="1"/>
  <c r="AF73" i="9" s="1"/>
  <c r="AE72" i="9"/>
  <c r="AD72" i="9"/>
  <c r="AC72" i="9"/>
  <c r="AB72" i="9"/>
  <c r="AA72" i="9"/>
  <c r="Z72" i="9"/>
  <c r="Y72" i="9"/>
  <c r="X72" i="9"/>
  <c r="W72" i="9"/>
  <c r="V72" i="9"/>
  <c r="U72" i="9"/>
  <c r="T72" i="9"/>
  <c r="S72" i="9"/>
  <c r="R72" i="9"/>
  <c r="Q72" i="9"/>
  <c r="P72" i="9"/>
  <c r="AX70" i="9"/>
  <c r="AJ70" i="9" s="1"/>
  <c r="AW70" i="9"/>
  <c r="AI70" i="9" s="1"/>
  <c r="AV70" i="9"/>
  <c r="AH70" i="9" s="1"/>
  <c r="AU70" i="9"/>
  <c r="AG70" i="9" s="1"/>
  <c r="AF70" i="9" s="1"/>
  <c r="AX69" i="9"/>
  <c r="AJ69" i="9" s="1"/>
  <c r="AW69" i="9"/>
  <c r="AI69" i="9" s="1"/>
  <c r="AV69" i="9"/>
  <c r="AH69" i="9" s="1"/>
  <c r="E69" i="9"/>
  <c r="AU69" i="9" s="1"/>
  <c r="AG69" i="9" s="1"/>
  <c r="AF69" i="9" s="1"/>
  <c r="AX68" i="9"/>
  <c r="AJ68" i="9" s="1"/>
  <c r="AW68" i="9"/>
  <c r="AI68" i="9" s="1"/>
  <c r="AV68" i="9"/>
  <c r="AH68" i="9"/>
  <c r="E68" i="9"/>
  <c r="AU68" i="9" s="1"/>
  <c r="AG68" i="9" s="1"/>
  <c r="AF68" i="9" s="1"/>
  <c r="AX67" i="9"/>
  <c r="AJ67" i="9" s="1"/>
  <c r="AW67" i="9"/>
  <c r="AV67" i="9"/>
  <c r="AH67" i="9" s="1"/>
  <c r="AI67" i="9"/>
  <c r="E67" i="9"/>
  <c r="AU67" i="9" s="1"/>
  <c r="AG67" i="9" s="1"/>
  <c r="AF67" i="9" s="1"/>
  <c r="AX66" i="9"/>
  <c r="AJ66" i="9" s="1"/>
  <c r="AW66" i="9"/>
  <c r="AI66" i="9" s="1"/>
  <c r="AV66" i="9"/>
  <c r="AH66" i="9" s="1"/>
  <c r="N66" i="9"/>
  <c r="E66" i="9"/>
  <c r="AU66" i="9" s="1"/>
  <c r="AG66" i="9" s="1"/>
  <c r="AF66" i="9" s="1"/>
  <c r="AX65" i="9"/>
  <c r="AJ65" i="9" s="1"/>
  <c r="AW65" i="9"/>
  <c r="AI65" i="9" s="1"/>
  <c r="AV65" i="9"/>
  <c r="AH65" i="9" s="1"/>
  <c r="AU65" i="9"/>
  <c r="AG65" i="9" s="1"/>
  <c r="AF65" i="9" s="1"/>
  <c r="N65" i="9"/>
  <c r="AX64" i="9"/>
  <c r="AJ64" i="9" s="1"/>
  <c r="AW64" i="9"/>
  <c r="AV64" i="9"/>
  <c r="AH64" i="9" s="1"/>
  <c r="AU64" i="9"/>
  <c r="AG64" i="9" s="1"/>
  <c r="AF64" i="9" s="1"/>
  <c r="AI64" i="9"/>
  <c r="AX63" i="9"/>
  <c r="AJ63" i="9" s="1"/>
  <c r="AW63" i="9"/>
  <c r="AI63" i="9" s="1"/>
  <c r="AV63" i="9"/>
  <c r="AH63" i="9" s="1"/>
  <c r="AU63" i="9"/>
  <c r="AG63" i="9" s="1"/>
  <c r="AF63" i="9" s="1"/>
  <c r="AX62" i="9"/>
  <c r="AJ62" i="9" s="1"/>
  <c r="AW62" i="9"/>
  <c r="AI62" i="9" s="1"/>
  <c r="AV62" i="9"/>
  <c r="AH62" i="9" s="1"/>
  <c r="AU62" i="9"/>
  <c r="AG62" i="9" s="1"/>
  <c r="AF62" i="9" s="1"/>
  <c r="AV61" i="9"/>
  <c r="AH61" i="9" s="1"/>
  <c r="AX61" i="9"/>
  <c r="AJ61" i="9" s="1"/>
  <c r="G77" i="9"/>
  <c r="F77" i="9"/>
  <c r="F108" i="9" s="1"/>
  <c r="E61" i="9"/>
  <c r="AJ60" i="9"/>
  <c r="AI60" i="9"/>
  <c r="AH60" i="9"/>
  <c r="AG60" i="9"/>
  <c r="H60" i="9"/>
  <c r="H107" i="9" s="1"/>
  <c r="G60" i="9"/>
  <c r="G107" i="9" s="1"/>
  <c r="F60" i="9"/>
  <c r="E60" i="9"/>
  <c r="E107" i="9" s="1"/>
  <c r="D60" i="9"/>
  <c r="D107" i="9" s="1"/>
  <c r="C60" i="9"/>
  <c r="C107" i="9" s="1"/>
  <c r="B60" i="9"/>
  <c r="B107" i="9" s="1"/>
  <c r="AA59" i="9"/>
  <c r="Z59" i="9"/>
  <c r="Y59" i="9"/>
  <c r="X59" i="9"/>
  <c r="W59" i="9"/>
  <c r="V59" i="9"/>
  <c r="U59" i="9"/>
  <c r="T59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AJ52" i="9"/>
  <c r="AI52" i="9"/>
  <c r="AH52" i="9"/>
  <c r="AG52" i="9"/>
  <c r="AF52" i="9" s="1"/>
  <c r="AJ51" i="9"/>
  <c r="AI51" i="9"/>
  <c r="AH51" i="9"/>
  <c r="AG51" i="9"/>
  <c r="D51" i="9"/>
  <c r="D106" i="9" s="1"/>
  <c r="C51" i="9"/>
  <c r="C106" i="9" s="1"/>
  <c r="B51" i="9"/>
  <c r="B106" i="9" s="1"/>
  <c r="AX50" i="9"/>
  <c r="AJ50" i="9" s="1"/>
  <c r="AW50" i="9"/>
  <c r="AI50" i="9" s="1"/>
  <c r="AV50" i="9"/>
  <c r="AH50" i="9" s="1"/>
  <c r="AU50" i="9"/>
  <c r="AG50" i="9" s="1"/>
  <c r="AF50" i="9" s="1"/>
  <c r="AA49" i="9"/>
  <c r="AJ49" i="9" s="1"/>
  <c r="Z49" i="9"/>
  <c r="AI49" i="9" s="1"/>
  <c r="Y49" i="9"/>
  <c r="AH49" i="9" s="1"/>
  <c r="X49" i="9"/>
  <c r="AG49" i="9" s="1"/>
  <c r="AF49" i="9" s="1"/>
  <c r="AE48" i="9"/>
  <c r="AD48" i="9"/>
  <c r="AC48" i="9"/>
  <c r="AB48" i="9"/>
  <c r="AA48" i="9"/>
  <c r="Z48" i="9"/>
  <c r="Y48" i="9"/>
  <c r="X48" i="9"/>
  <c r="AE47" i="9"/>
  <c r="AD47" i="9"/>
  <c r="AC47" i="9"/>
  <c r="AB47" i="9"/>
  <c r="AA47" i="9"/>
  <c r="Z47" i="9"/>
  <c r="Y47" i="9"/>
  <c r="X47" i="9"/>
  <c r="H46" i="9"/>
  <c r="AT46" i="9" s="1"/>
  <c r="AJ46" i="9" s="1"/>
  <c r="G46" i="9"/>
  <c r="AS46" i="9" s="1"/>
  <c r="AI46" i="9" s="1"/>
  <c r="F46" i="9"/>
  <c r="E46" i="9"/>
  <c r="AQ46" i="9" s="1"/>
  <c r="AG46" i="9" s="1"/>
  <c r="AF46" i="9" s="1"/>
  <c r="AT45" i="9"/>
  <c r="AS45" i="9"/>
  <c r="AR45" i="9"/>
  <c r="AQ45" i="9"/>
  <c r="AE45" i="9"/>
  <c r="AD45" i="9"/>
  <c r="AC45" i="9"/>
  <c r="AB45" i="9"/>
  <c r="AT44" i="9"/>
  <c r="AJ44" i="9" s="1"/>
  <c r="AS44" i="9"/>
  <c r="AI44" i="9" s="1"/>
  <c r="AR44" i="9"/>
  <c r="AH44" i="9" s="1"/>
  <c r="AQ44" i="9"/>
  <c r="AG44" i="9" s="1"/>
  <c r="AF44" i="9" s="1"/>
  <c r="H43" i="9"/>
  <c r="AE43" i="9" s="1"/>
  <c r="G43" i="9"/>
  <c r="F43" i="9"/>
  <c r="AR43" i="9" s="1"/>
  <c r="E43" i="9"/>
  <c r="AB43" i="9" s="1"/>
  <c r="AT42" i="9"/>
  <c r="AS42" i="9"/>
  <c r="AR42" i="9"/>
  <c r="AQ42" i="9"/>
  <c r="AE42" i="9"/>
  <c r="AD42" i="9"/>
  <c r="AC42" i="9"/>
  <c r="AB42" i="9"/>
  <c r="AT41" i="9"/>
  <c r="AS41" i="9"/>
  <c r="AR41" i="9"/>
  <c r="AQ41" i="9"/>
  <c r="AE41" i="9"/>
  <c r="AD41" i="9"/>
  <c r="AC41" i="9"/>
  <c r="AB41" i="9"/>
  <c r="AT40" i="9"/>
  <c r="AS40" i="9"/>
  <c r="AR40" i="9"/>
  <c r="AQ40" i="9"/>
  <c r="AE40" i="9"/>
  <c r="AD40" i="9"/>
  <c r="AC40" i="9"/>
  <c r="AB40" i="9"/>
  <c r="AJ39" i="9"/>
  <c r="AI39" i="9"/>
  <c r="AH39" i="9"/>
  <c r="AG39" i="9"/>
  <c r="D39" i="9"/>
  <c r="D105" i="9" s="1"/>
  <c r="C39" i="9"/>
  <c r="C105" i="9" s="1"/>
  <c r="B39" i="9"/>
  <c r="B105" i="9" s="1"/>
  <c r="H38" i="9"/>
  <c r="AE38" i="9" s="1"/>
  <c r="G38" i="9"/>
  <c r="AD38" i="9" s="1"/>
  <c r="F38" i="9"/>
  <c r="Y38" i="9" s="1"/>
  <c r="E38" i="9"/>
  <c r="X38" i="9" s="1"/>
  <c r="AA37" i="9"/>
  <c r="Z37" i="9"/>
  <c r="Y37" i="9"/>
  <c r="X37" i="9"/>
  <c r="W37" i="9"/>
  <c r="V37" i="9"/>
  <c r="U37" i="9"/>
  <c r="T37" i="9"/>
  <c r="H36" i="9"/>
  <c r="S36" i="9" s="1"/>
  <c r="AJ36" i="9" s="1"/>
  <c r="G36" i="9"/>
  <c r="R36" i="9" s="1"/>
  <c r="AI36" i="9" s="1"/>
  <c r="F36" i="9"/>
  <c r="Q36" i="9" s="1"/>
  <c r="AH36" i="9" s="1"/>
  <c r="E36" i="9"/>
  <c r="P36" i="9" s="1"/>
  <c r="AG36" i="9" s="1"/>
  <c r="AF36" i="9" s="1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AA34" i="9"/>
  <c r="Z34" i="9"/>
  <c r="Y34" i="9"/>
  <c r="X34" i="9"/>
  <c r="W34" i="9"/>
  <c r="V34" i="9"/>
  <c r="U34" i="9"/>
  <c r="T34" i="9"/>
  <c r="P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H32" i="9"/>
  <c r="AE32" i="9" s="1"/>
  <c r="AJ32" i="9" s="1"/>
  <c r="G32" i="9"/>
  <c r="AD32" i="9" s="1"/>
  <c r="AI32" i="9" s="1"/>
  <c r="F32" i="9"/>
  <c r="AC32" i="9" s="1"/>
  <c r="AH32" i="9" s="1"/>
  <c r="E32" i="9"/>
  <c r="AB32" i="9" s="1"/>
  <c r="AG32" i="9" s="1"/>
  <c r="AF32" i="9" s="1"/>
  <c r="AA31" i="9"/>
  <c r="AJ31" i="9" s="1"/>
  <c r="Z31" i="9"/>
  <c r="AI31" i="9" s="1"/>
  <c r="Y31" i="9"/>
  <c r="AH31" i="9" s="1"/>
  <c r="X31" i="9"/>
  <c r="AG31" i="9" s="1"/>
  <c r="AF31" i="9" s="1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AE28" i="9"/>
  <c r="AA28" i="9"/>
  <c r="H28" i="9"/>
  <c r="W28" i="9" s="1"/>
  <c r="G28" i="9"/>
  <c r="AD28" i="9" s="1"/>
  <c r="F28" i="9"/>
  <c r="AC28" i="9" s="1"/>
  <c r="E28" i="9"/>
  <c r="AB28" i="9" s="1"/>
  <c r="AJ27" i="9"/>
  <c r="AI27" i="9"/>
  <c r="AH27" i="9"/>
  <c r="AG27" i="9"/>
  <c r="D27" i="9"/>
  <c r="D104" i="9" s="1"/>
  <c r="C27" i="9"/>
  <c r="C104" i="9" s="1"/>
  <c r="B27" i="9"/>
  <c r="B104" i="9" s="1"/>
  <c r="Z25" i="9"/>
  <c r="H25" i="9"/>
  <c r="AA25" i="9" s="1"/>
  <c r="G25" i="9"/>
  <c r="AD25" i="9" s="1"/>
  <c r="F25" i="9"/>
  <c r="Y25" i="9" s="1"/>
  <c r="E25" i="9"/>
  <c r="P25" i="9" s="1"/>
  <c r="AO24" i="9"/>
  <c r="AJ24" i="9" s="1"/>
  <c r="AN24" i="9"/>
  <c r="AI24" i="9" s="1"/>
  <c r="AM24" i="9"/>
  <c r="AH24" i="9" s="1"/>
  <c r="AL24" i="9"/>
  <c r="AG24" i="9" s="1"/>
  <c r="AF24" i="9" s="1"/>
  <c r="H23" i="9"/>
  <c r="AO23" i="9" s="1"/>
  <c r="AJ23" i="9" s="1"/>
  <c r="G23" i="9"/>
  <c r="AN23" i="9" s="1"/>
  <c r="AI23" i="9" s="1"/>
  <c r="F23" i="9"/>
  <c r="AM23" i="9" s="1"/>
  <c r="AH23" i="9" s="1"/>
  <c r="E23" i="9"/>
  <c r="AL23" i="9" s="1"/>
  <c r="AG23" i="9" s="1"/>
  <c r="AF23" i="9" s="1"/>
  <c r="AO22" i="9"/>
  <c r="AJ22" i="9" s="1"/>
  <c r="G22" i="9"/>
  <c r="F22" i="9"/>
  <c r="AM22" i="9" s="1"/>
  <c r="AH22" i="9" s="1"/>
  <c r="E22" i="9"/>
  <c r="AL22" i="9" s="1"/>
  <c r="AG22" i="9" s="1"/>
  <c r="AF22" i="9" s="1"/>
  <c r="AO21" i="9"/>
  <c r="AJ21" i="9" s="1"/>
  <c r="AN21" i="9"/>
  <c r="AI21" i="9" s="1"/>
  <c r="AM21" i="9"/>
  <c r="AH21" i="9" s="1"/>
  <c r="AL21" i="9"/>
  <c r="AG21" i="9" s="1"/>
  <c r="AF21" i="9" s="1"/>
  <c r="AO20" i="9"/>
  <c r="AN20" i="9"/>
  <c r="AI20" i="9" s="1"/>
  <c r="AM20" i="9"/>
  <c r="AH20" i="9" s="1"/>
  <c r="AL20" i="9"/>
  <c r="AG20" i="9" s="1"/>
  <c r="AF20" i="9"/>
  <c r="AJ19" i="9"/>
  <c r="AI19" i="9"/>
  <c r="AH19" i="9"/>
  <c r="AG19" i="9"/>
  <c r="H19" i="9"/>
  <c r="H103" i="9" s="1"/>
  <c r="G19" i="9"/>
  <c r="G103" i="9" s="1"/>
  <c r="F19" i="9"/>
  <c r="F103" i="9" s="1"/>
  <c r="E19" i="9"/>
  <c r="E103" i="9" s="1"/>
  <c r="D19" i="9"/>
  <c r="D103" i="9" s="1"/>
  <c r="C19" i="9"/>
  <c r="C103" i="9" s="1"/>
  <c r="B19" i="9"/>
  <c r="B103" i="9" s="1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AA16" i="9"/>
  <c r="Z16" i="9"/>
  <c r="Y16" i="9"/>
  <c r="X16" i="9"/>
  <c r="W16" i="9"/>
  <c r="V16" i="9"/>
  <c r="U16" i="9"/>
  <c r="T16" i="9"/>
  <c r="W15" i="9"/>
  <c r="AJ15" i="9" s="1"/>
  <c r="V15" i="9"/>
  <c r="AI15" i="9" s="1"/>
  <c r="U15" i="9"/>
  <c r="AH15" i="9" s="1"/>
  <c r="T15" i="9"/>
  <c r="AG15" i="9" s="1"/>
  <c r="AF15" i="9" s="1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AH14" i="9" s="1"/>
  <c r="P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AA12" i="9"/>
  <c r="Z12" i="9"/>
  <c r="Y12" i="9"/>
  <c r="X12" i="9"/>
  <c r="W12" i="9"/>
  <c r="V12" i="9"/>
  <c r="U12" i="9"/>
  <c r="T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AH11" i="9" s="1"/>
  <c r="P11" i="9"/>
  <c r="AA10" i="9"/>
  <c r="Z10" i="9"/>
  <c r="Y10" i="9"/>
  <c r="X10" i="9"/>
  <c r="W10" i="9"/>
  <c r="V10" i="9"/>
  <c r="U10" i="9"/>
  <c r="AH10" i="9" s="1"/>
  <c r="T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AH6" i="9" s="1"/>
  <c r="P6" i="9"/>
  <c r="AJ5" i="9"/>
  <c r="AI5" i="9"/>
  <c r="AH5" i="9"/>
  <c r="X5" i="9"/>
  <c r="T5" i="9"/>
  <c r="P5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AH7" i="9" l="1"/>
  <c r="AC43" i="9"/>
  <c r="X21" i="8"/>
  <c r="P37" i="11"/>
  <c r="P45" i="11" s="1"/>
  <c r="X19" i="8"/>
  <c r="Y12" i="8"/>
  <c r="T25" i="9"/>
  <c r="AJ37" i="9"/>
  <c r="AJ47" i="9"/>
  <c r="AI40" i="9"/>
  <c r="AH75" i="9"/>
  <c r="Q46" i="13"/>
  <c r="Q98" i="13" s="1"/>
  <c r="C11" i="14" s="1"/>
  <c r="P46" i="13"/>
  <c r="X20" i="3"/>
  <c r="X52" i="3" s="1"/>
  <c r="J7" i="14" s="1"/>
  <c r="AI35" i="9"/>
  <c r="AI37" i="9"/>
  <c r="AJ40" i="9"/>
  <c r="AI47" i="9"/>
  <c r="AI48" i="9"/>
  <c r="AI55" i="9"/>
  <c r="AI59" i="9"/>
  <c r="R25" i="9"/>
  <c r="U28" i="9"/>
  <c r="P18" i="10"/>
  <c r="S25" i="9"/>
  <c r="AG45" i="9"/>
  <c r="AF45" i="9" s="1"/>
  <c r="X46" i="13"/>
  <c r="AJ45" i="9"/>
  <c r="P22" i="8"/>
  <c r="P70" i="8" s="1"/>
  <c r="B8" i="14" s="1"/>
  <c r="AJ54" i="9"/>
  <c r="AJ56" i="9"/>
  <c r="AJ57" i="9"/>
  <c r="AJ58" i="9"/>
  <c r="P38" i="9"/>
  <c r="AI4" i="9"/>
  <c r="AG9" i="9"/>
  <c r="AF9" i="9" s="1"/>
  <c r="AG11" i="9"/>
  <c r="AF11" i="9" s="1"/>
  <c r="AG13" i="9"/>
  <c r="AF13" i="9" s="1"/>
  <c r="T38" i="9"/>
  <c r="AJ33" i="9"/>
  <c r="AT43" i="9"/>
  <c r="AJ6" i="9"/>
  <c r="AJ8" i="9"/>
  <c r="AJ12" i="9"/>
  <c r="AA38" i="9"/>
  <c r="AJ41" i="9"/>
  <c r="AI53" i="9"/>
  <c r="AI57" i="9"/>
  <c r="AG75" i="9"/>
  <c r="AF75" i="9" s="1"/>
  <c r="AE65" i="8"/>
  <c r="AE70" i="8" s="1"/>
  <c r="Q8" i="14" s="1"/>
  <c r="X57" i="8"/>
  <c r="X65" i="8" s="1"/>
  <c r="X18" i="11"/>
  <c r="Y46" i="13"/>
  <c r="P18" i="11"/>
  <c r="V29" i="11"/>
  <c r="V58" i="11" s="1"/>
  <c r="H9" i="14" s="1"/>
  <c r="AG5" i="9"/>
  <c r="AF5" i="9" s="1"/>
  <c r="AG37" i="9"/>
  <c r="AF37" i="9" s="1"/>
  <c r="AB38" i="9"/>
  <c r="AG41" i="9"/>
  <c r="AF41" i="9" s="1"/>
  <c r="AH45" i="9"/>
  <c r="AG48" i="9"/>
  <c r="AF48" i="9" s="1"/>
  <c r="AI72" i="9"/>
  <c r="X94" i="13"/>
  <c r="Q22" i="8"/>
  <c r="Q70" i="8" s="1"/>
  <c r="C8" i="14" s="1"/>
  <c r="AI29" i="9"/>
  <c r="AG34" i="9"/>
  <c r="AF34" i="9" s="1"/>
  <c r="AG55" i="9"/>
  <c r="AF55" i="9" s="1"/>
  <c r="AG58" i="9"/>
  <c r="AF58" i="9" s="1"/>
  <c r="AG59" i="9"/>
  <c r="AF59" i="9" s="1"/>
  <c r="Y45" i="11"/>
  <c r="Y58" i="11" s="1"/>
  <c r="K9" i="14" s="1"/>
  <c r="S38" i="9"/>
  <c r="AG54" i="9"/>
  <c r="AF54" i="9" s="1"/>
  <c r="G27" i="9"/>
  <c r="G104" i="9" s="1"/>
  <c r="AH41" i="9"/>
  <c r="AG56" i="9"/>
  <c r="AF56" i="9" s="1"/>
  <c r="AF60" i="9"/>
  <c r="AI6" i="9"/>
  <c r="AI17" i="9"/>
  <c r="AJ29" i="9"/>
  <c r="AH33" i="9"/>
  <c r="AG35" i="9"/>
  <c r="AF35" i="9" s="1"/>
  <c r="AH53" i="9"/>
  <c r="AH54" i="9"/>
  <c r="AH56" i="9"/>
  <c r="AH59" i="9"/>
  <c r="AG72" i="9"/>
  <c r="AF72" i="9" s="1"/>
  <c r="Y94" i="13"/>
  <c r="Y52" i="3"/>
  <c r="Y66" i="13"/>
  <c r="L6" i="14"/>
  <c r="L12" i="14" s="1"/>
  <c r="P6" i="14"/>
  <c r="X18" i="10"/>
  <c r="N6" i="14"/>
  <c r="N12" i="14" s="1"/>
  <c r="E6" i="14"/>
  <c r="I6" i="14"/>
  <c r="Q6" i="14"/>
  <c r="H6" i="14"/>
  <c r="F6" i="14"/>
  <c r="F12" i="14" s="1"/>
  <c r="P32" i="10"/>
  <c r="P37" i="10" s="1"/>
  <c r="M6" i="14"/>
  <c r="C6" i="14"/>
  <c r="G6" i="14"/>
  <c r="K6" i="14"/>
  <c r="X37" i="10"/>
  <c r="D12" i="14"/>
  <c r="Q58" i="11"/>
  <c r="C9" i="14" s="1"/>
  <c r="X29" i="11"/>
  <c r="X58" i="11" s="1"/>
  <c r="J9" i="14" s="1"/>
  <c r="AA98" i="13"/>
  <c r="M11" i="14" s="1"/>
  <c r="P20" i="3"/>
  <c r="K7" i="14"/>
  <c r="AG7" i="9"/>
  <c r="AF7" i="9" s="1"/>
  <c r="AI7" i="9"/>
  <c r="AI9" i="9"/>
  <c r="AI13" i="9"/>
  <c r="AH34" i="9"/>
  <c r="AI41" i="9"/>
  <c r="AH8" i="9"/>
  <c r="AJ13" i="9"/>
  <c r="AG16" i="9"/>
  <c r="AF16" i="9" s="1"/>
  <c r="AG17" i="9"/>
  <c r="AF17" i="9" s="1"/>
  <c r="AJ34" i="9"/>
  <c r="AI42" i="9"/>
  <c r="AH47" i="9"/>
  <c r="AH48" i="9"/>
  <c r="AH72" i="9"/>
  <c r="AJ75" i="9"/>
  <c r="AH16" i="9"/>
  <c r="AH29" i="9"/>
  <c r="AG30" i="9"/>
  <c r="AF30" i="9" s="1"/>
  <c r="AJ42" i="9"/>
  <c r="AG53" i="9"/>
  <c r="AF53" i="9" s="1"/>
  <c r="AJ55" i="9"/>
  <c r="AH58" i="9"/>
  <c r="AG4" i="9"/>
  <c r="AF4" i="9" s="1"/>
  <c r="AH43" i="9"/>
  <c r="AJ9" i="9"/>
  <c r="AJ16" i="9"/>
  <c r="AI30" i="9"/>
  <c r="AI54" i="9"/>
  <c r="G39" i="9"/>
  <c r="G105" i="9" s="1"/>
  <c r="X92" i="9"/>
  <c r="Z87" i="9" s="1"/>
  <c r="AB87" i="9" s="1"/>
  <c r="AI8" i="9"/>
  <c r="AH9" i="9"/>
  <c r="AH12" i="9"/>
  <c r="AJ14" i="9"/>
  <c r="AJ17" i="9"/>
  <c r="C110" i="9"/>
  <c r="AO82" i="9"/>
  <c r="S90" i="9" s="1"/>
  <c r="H27" i="9"/>
  <c r="H104" i="9" s="1"/>
  <c r="H39" i="9"/>
  <c r="H105" i="9" s="1"/>
  <c r="AH30" i="9"/>
  <c r="AG33" i="9"/>
  <c r="AF33" i="9" s="1"/>
  <c r="Z38" i="9"/>
  <c r="AH42" i="9"/>
  <c r="AH57" i="9"/>
  <c r="AJ59" i="9"/>
  <c r="AI75" i="9"/>
  <c r="P19" i="11"/>
  <c r="AI10" i="9"/>
  <c r="D110" i="9"/>
  <c r="AJ30" i="9"/>
  <c r="AH35" i="9"/>
  <c r="AJ10" i="9"/>
  <c r="AI11" i="9"/>
  <c r="AG12" i="9"/>
  <c r="AF12" i="9" s="1"/>
  <c r="AI14" i="9"/>
  <c r="AN22" i="9"/>
  <c r="AI22" i="9" s="1"/>
  <c r="AG47" i="9"/>
  <c r="AF47" i="9" s="1"/>
  <c r="AI56" i="9"/>
  <c r="AG57" i="9"/>
  <c r="AF57" i="9" s="1"/>
  <c r="AC37" i="10"/>
  <c r="AG8" i="9"/>
  <c r="AF8" i="9" s="1"/>
  <c r="AH40" i="9"/>
  <c r="AJ43" i="9"/>
  <c r="AI45" i="9"/>
  <c r="AV82" i="9"/>
  <c r="Q92" i="9" s="1"/>
  <c r="AH13" i="9"/>
  <c r="AI16" i="9"/>
  <c r="AG29" i="9"/>
  <c r="AF29" i="9" s="1"/>
  <c r="AI34" i="9"/>
  <c r="R38" i="9"/>
  <c r="AG42" i="9"/>
  <c r="AF42" i="9" s="1"/>
  <c r="X10" i="13"/>
  <c r="P10" i="13"/>
  <c r="X8" i="12"/>
  <c r="X37" i="12" s="1"/>
  <c r="J10" i="14" s="1"/>
  <c r="P8" i="12"/>
  <c r="P37" i="12" s="1"/>
  <c r="B10" i="14" s="1"/>
  <c r="V8" i="12"/>
  <c r="V37" i="12" s="1"/>
  <c r="H10" i="14" s="1"/>
  <c r="X25" i="9"/>
  <c r="E77" i="9"/>
  <c r="AU61" i="9"/>
  <c r="AG40" i="9"/>
  <c r="AF40" i="9" s="1"/>
  <c r="AR46" i="9"/>
  <c r="AH46" i="9" s="1"/>
  <c r="F51" i="9"/>
  <c r="F106" i="9" s="1"/>
  <c r="F107" i="9"/>
  <c r="AH4" i="9"/>
  <c r="E27" i="9"/>
  <c r="AH37" i="9"/>
  <c r="G108" i="9"/>
  <c r="AG10" i="9"/>
  <c r="AF10" i="9" s="1"/>
  <c r="AB25" i="9"/>
  <c r="AI33" i="9"/>
  <c r="AJ35" i="9"/>
  <c r="E51" i="9"/>
  <c r="E106" i="9" s="1"/>
  <c r="AQ43" i="9"/>
  <c r="AQ82" i="9" s="1"/>
  <c r="P91" i="9" s="1"/>
  <c r="AX82" i="9"/>
  <c r="S92" i="9" s="1"/>
  <c r="AJ53" i="9"/>
  <c r="AJ11" i="9"/>
  <c r="F39" i="9"/>
  <c r="F105" i="9" s="1"/>
  <c r="Y28" i="9"/>
  <c r="Q28" i="9"/>
  <c r="AJ7" i="9"/>
  <c r="AI12" i="9"/>
  <c r="AT82" i="9"/>
  <c r="S91" i="9" s="1"/>
  <c r="AI58" i="9"/>
  <c r="AG14" i="9"/>
  <c r="AF14" i="9" s="1"/>
  <c r="AH17" i="9"/>
  <c r="AJ72" i="9"/>
  <c r="AM82" i="9"/>
  <c r="Q90" i="9" s="1"/>
  <c r="AJ4" i="9"/>
  <c r="AF19" i="9"/>
  <c r="AJ20" i="9"/>
  <c r="AG6" i="9"/>
  <c r="AF6" i="9" s="1"/>
  <c r="B110" i="9"/>
  <c r="S28" i="9"/>
  <c r="AJ28" i="9" s="1"/>
  <c r="E39" i="9"/>
  <c r="AS43" i="9"/>
  <c r="AS82" i="9" s="1"/>
  <c r="R91" i="9" s="1"/>
  <c r="AD43" i="9"/>
  <c r="G51" i="9"/>
  <c r="G106" i="9" s="1"/>
  <c r="AJ48" i="9"/>
  <c r="AH55" i="9"/>
  <c r="U25" i="9"/>
  <c r="AC25" i="9"/>
  <c r="P28" i="9"/>
  <c r="X28" i="9"/>
  <c r="U38" i="9"/>
  <c r="AC38" i="9"/>
  <c r="H108" i="9"/>
  <c r="V25" i="9"/>
  <c r="V38" i="9"/>
  <c r="H51" i="9"/>
  <c r="H106" i="9" s="1"/>
  <c r="W25" i="9"/>
  <c r="AE25" i="9"/>
  <c r="R28" i="9"/>
  <c r="Z28" i="9"/>
  <c r="W38" i="9"/>
  <c r="AL82" i="9"/>
  <c r="P90" i="9" s="1"/>
  <c r="Q25" i="9"/>
  <c r="F27" i="9"/>
  <c r="F104" i="9" s="1"/>
  <c r="T28" i="9"/>
  <c r="Q38" i="9"/>
  <c r="V28" i="9"/>
  <c r="AW61" i="9"/>
  <c r="Z88" i="9" l="1"/>
  <c r="AB88" i="9" s="1"/>
  <c r="X12" i="8"/>
  <c r="Y13" i="8"/>
  <c r="Z90" i="9"/>
  <c r="AB90" i="9" s="1"/>
  <c r="AI43" i="9"/>
  <c r="P98" i="13"/>
  <c r="B11" i="14" s="1"/>
  <c r="Y98" i="13"/>
  <c r="K11" i="14" s="1"/>
  <c r="P57" i="10"/>
  <c r="AG38" i="9"/>
  <c r="AF38" i="9" s="1"/>
  <c r="AR82" i="9"/>
  <c r="Q91" i="9" s="1"/>
  <c r="F110" i="9"/>
  <c r="AH25" i="9"/>
  <c r="X98" i="13"/>
  <c r="J11" i="14" s="1"/>
  <c r="Z89" i="9"/>
  <c r="AB89" i="9" s="1"/>
  <c r="AH28" i="9"/>
  <c r="AJ38" i="9"/>
  <c r="AG43" i="9"/>
  <c r="AF43" i="9" s="1"/>
  <c r="AN82" i="9"/>
  <c r="R90" i="9" s="1"/>
  <c r="E12" i="14"/>
  <c r="G12" i="14"/>
  <c r="Q12" i="14"/>
  <c r="I12" i="14"/>
  <c r="G110" i="9"/>
  <c r="P12" i="14"/>
  <c r="H12" i="14"/>
  <c r="X57" i="10"/>
  <c r="J6" i="14" s="1"/>
  <c r="AC57" i="10"/>
  <c r="O6" i="14" s="1"/>
  <c r="M12" i="14"/>
  <c r="P29" i="11"/>
  <c r="P58" i="11" s="1"/>
  <c r="B9" i="14" s="1"/>
  <c r="H79" i="9"/>
  <c r="AH38" i="9"/>
  <c r="H110" i="9"/>
  <c r="AI38" i="9"/>
  <c r="T91" i="9"/>
  <c r="E105" i="9"/>
  <c r="AF39" i="9"/>
  <c r="AU82" i="9"/>
  <c r="P92" i="9" s="1"/>
  <c r="AG61" i="9"/>
  <c r="AF61" i="9" s="1"/>
  <c r="E79" i="9"/>
  <c r="AF79" i="9" s="1"/>
  <c r="E108" i="9"/>
  <c r="AF77" i="9"/>
  <c r="AI25" i="9"/>
  <c r="T90" i="9"/>
  <c r="AI28" i="9"/>
  <c r="E104" i="9"/>
  <c r="AF27" i="9"/>
  <c r="AJ25" i="9"/>
  <c r="AG28" i="9"/>
  <c r="AF28" i="9" s="1"/>
  <c r="AF51" i="9"/>
  <c r="AG25" i="9"/>
  <c r="AF25" i="9" s="1"/>
  <c r="AW82" i="9"/>
  <c r="R92" i="9" s="1"/>
  <c r="AI61" i="9"/>
  <c r="G79" i="9"/>
  <c r="F79" i="9"/>
  <c r="X13" i="8" l="1"/>
  <c r="X22" i="8" s="1"/>
  <c r="X70" i="8" s="1"/>
  <c r="J8" i="14" s="1"/>
  <c r="J12" i="14" s="1"/>
  <c r="Y22" i="8"/>
  <c r="Y70" i="8" s="1"/>
  <c r="K8" i="14" s="1"/>
  <c r="K12" i="14" s="1"/>
  <c r="AB92" i="9"/>
  <c r="AE87" i="9" s="1"/>
  <c r="AF87" i="9"/>
  <c r="AA71" i="9" s="1"/>
  <c r="AA82" i="9" s="1"/>
  <c r="S88" i="9" s="1"/>
  <c r="O12" i="14"/>
  <c r="E110" i="9"/>
  <c r="T92" i="9"/>
  <c r="U71" i="9" l="1"/>
  <c r="U82" i="9" s="1"/>
  <c r="Q87" i="9" s="1"/>
  <c r="T71" i="9"/>
  <c r="T82" i="9" s="1"/>
  <c r="P87" i="9" s="1"/>
  <c r="W71" i="9"/>
  <c r="W82" i="9" s="1"/>
  <c r="S87" i="9" s="1"/>
  <c r="V71" i="9"/>
  <c r="V82" i="9" s="1"/>
  <c r="R87" i="9" s="1"/>
  <c r="AG87" i="9"/>
  <c r="AD87" i="9"/>
  <c r="S71" i="9" s="1"/>
  <c r="Z71" i="9"/>
  <c r="Z82" i="9" s="1"/>
  <c r="R88" i="9" s="1"/>
  <c r="X71" i="9"/>
  <c r="X82" i="9" s="1"/>
  <c r="P88" i="9" s="1"/>
  <c r="T88" i="9" s="1"/>
  <c r="AB71" i="9"/>
  <c r="AB82" i="9" s="1"/>
  <c r="P89" i="9" s="1"/>
  <c r="T89" i="9" s="1"/>
  <c r="Y71" i="9"/>
  <c r="Y82" i="9" s="1"/>
  <c r="Q88" i="9" s="1"/>
  <c r="AE71" i="9"/>
  <c r="AE82" i="9" s="1"/>
  <c r="S89" i="9" s="1"/>
  <c r="P71" i="9"/>
  <c r="P82" i="9" s="1"/>
  <c r="P86" i="9" s="1"/>
  <c r="T86" i="9" s="1"/>
  <c r="R71" i="9"/>
  <c r="R82" i="9" s="1"/>
  <c r="R86" i="9" s="1"/>
  <c r="R93" i="9" s="1"/>
  <c r="R97" i="9" s="1"/>
  <c r="Q71" i="9"/>
  <c r="Q82" i="9" s="1"/>
  <c r="Q86" i="9" s="1"/>
  <c r="Q93" i="9" s="1"/>
  <c r="Q97" i="9" s="1"/>
  <c r="T87" i="9"/>
  <c r="S82" i="9" l="1"/>
  <c r="S86" i="9" s="1"/>
  <c r="S93" i="9" s="1"/>
  <c r="S97" i="9" s="1"/>
  <c r="AJ71" i="9"/>
  <c r="AD71" i="9"/>
  <c r="AD82" i="9" s="1"/>
  <c r="R89" i="9" s="1"/>
  <c r="AC71" i="9"/>
  <c r="P93" i="9"/>
  <c r="M87" i="9" s="1"/>
  <c r="AJ82" i="9"/>
  <c r="AG82" i="9"/>
  <c r="AF82" i="9" s="1"/>
  <c r="AG71" i="9"/>
  <c r="AF71" i="9" s="1"/>
  <c r="AI82" i="9" l="1"/>
  <c r="AI71" i="9"/>
  <c r="AC82" i="9"/>
  <c r="AH71" i="9"/>
  <c r="P97" i="9"/>
  <c r="M86" i="9"/>
  <c r="M93" i="9" s="1"/>
  <c r="M89" i="9"/>
  <c r="M92" i="9"/>
  <c r="M90" i="9"/>
  <c r="M88" i="9"/>
  <c r="M91" i="9"/>
  <c r="Q49" i="3"/>
  <c r="Q52" i="3" s="1"/>
  <c r="C7" i="14" s="1"/>
  <c r="P48" i="3"/>
  <c r="P49" i="3" s="1"/>
  <c r="P52" i="3" s="1"/>
  <c r="B7" i="14" s="1"/>
  <c r="B6" i="14"/>
  <c r="Q89" i="9" l="1"/>
  <c r="AH82" i="9"/>
  <c r="C12" i="14"/>
  <c r="B12" i="14"/>
</calcChain>
</file>

<file path=xl/sharedStrings.xml><?xml version="1.0" encoding="utf-8"?>
<sst xmlns="http://schemas.openxmlformats.org/spreadsheetml/2006/main" count="1727" uniqueCount="785">
  <si>
    <t>National Department of Education</t>
  </si>
  <si>
    <t>Papua New Guinea</t>
  </si>
  <si>
    <t xml:space="preserve">National Education Plan 2015-19 &amp; Addendum </t>
  </si>
  <si>
    <t>Action Plan</t>
  </si>
  <si>
    <t>Quality Learning for All</t>
  </si>
  <si>
    <t>Planning cycle</t>
  </si>
  <si>
    <t>May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</si>
  <si>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</si>
  <si>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</si>
  <si>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</si>
  <si>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</si>
  <si>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</si>
  <si>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</si>
  <si>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</si>
  <si>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</si>
  <si>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</si>
  <si>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Draft Annual Operational and Financial Plan</t>
  </si>
  <si>
    <t>Consultations with sector partners</t>
  </si>
  <si>
    <t>Budget negotiations</t>
  </si>
  <si>
    <t>Senior Education Officers' Conference</t>
  </si>
  <si>
    <t>Draft Division Annual Activity Plans</t>
  </si>
  <si>
    <t>February</t>
  </si>
  <si>
    <t>Government accounts open; AOFP operational</t>
  </si>
  <si>
    <t>Joint Education Sector Review; Division Annual Activity Plans finalized</t>
  </si>
  <si>
    <t>March</t>
  </si>
  <si>
    <t>Q1</t>
  </si>
  <si>
    <t>Q4</t>
  </si>
  <si>
    <t>Q3</t>
  </si>
  <si>
    <t>Q2</t>
  </si>
  <si>
    <t>Q1 Quarterly budget review</t>
  </si>
  <si>
    <t>Q2 Quarterly Budget Review; Draft AOFP submission to Department of Finance</t>
  </si>
  <si>
    <t>Q3 Quarterly Budget Review</t>
  </si>
  <si>
    <t>Q4 Quarterly Budget Review. Government accounts close</t>
  </si>
  <si>
    <t>Focus Areas</t>
  </si>
  <si>
    <t>Learning</t>
  </si>
  <si>
    <t>Access and Equity</t>
  </si>
  <si>
    <t>Teachers and Teaching</t>
  </si>
  <si>
    <t>Alternate Pathways</t>
  </si>
  <si>
    <t>Local Management</t>
  </si>
  <si>
    <t>System Strengthening</t>
  </si>
  <si>
    <t>Focus Area</t>
  </si>
  <si>
    <t>Increase the number of teachers trained, to meet increased student demand, while meeting quality standards</t>
  </si>
  <si>
    <t>Activities</t>
  </si>
  <si>
    <t>Responsible</t>
  </si>
  <si>
    <t>TQF</t>
  </si>
  <si>
    <t>TED</t>
  </si>
  <si>
    <t>Pre-service training</t>
  </si>
  <si>
    <t xml:space="preserve">NEP Indicator  </t>
  </si>
  <si>
    <t>NEP Target/deliverable</t>
  </si>
  <si>
    <t>TFF</t>
  </si>
  <si>
    <t>DP</t>
  </si>
  <si>
    <t>Gap</t>
  </si>
  <si>
    <t>Total</t>
  </si>
  <si>
    <t>Notes</t>
  </si>
  <si>
    <t>2.1.1</t>
  </si>
  <si>
    <t>2.1.2</t>
  </si>
  <si>
    <t>2.1.3</t>
  </si>
  <si>
    <t>2.1.4</t>
  </si>
  <si>
    <t>Implementation plan</t>
  </si>
  <si>
    <t>Prov.</t>
  </si>
  <si>
    <t>Recurr.</t>
  </si>
  <si>
    <t>Budget &amp; source</t>
  </si>
  <si>
    <t>Dev.</t>
  </si>
  <si>
    <t>Dept</t>
  </si>
  <si>
    <t>Institutionalise the CET program into 8 Teachers Training Colleges in 2018 &amp; Provide mentoring and training for the new CET Lecturers</t>
  </si>
  <si>
    <t>Secondary and TVET pre-service teacher training</t>
  </si>
  <si>
    <t>DHERST</t>
  </si>
  <si>
    <t>2933 secondary teachers; 921 TVET teachers</t>
  </si>
  <si>
    <t>In-service training</t>
  </si>
  <si>
    <t>2.1.5</t>
  </si>
  <si>
    <t>2.1.6</t>
  </si>
  <si>
    <t>DHERST/STC</t>
  </si>
  <si>
    <t>Improve quality of all teachers by implementing a National Teachers’ Competency Framework</t>
  </si>
  <si>
    <t>Update and publish National Teacher Qualification Framework</t>
  </si>
  <si>
    <t>Enhance teacher quality by providing support and professional learning</t>
  </si>
  <si>
    <t>Provide specialist training</t>
  </si>
  <si>
    <t>Train and support teachers for SBC</t>
  </si>
  <si>
    <t>Improve management of libraries and records</t>
  </si>
  <si>
    <t>2.2.1</t>
  </si>
  <si>
    <t>2.2.2</t>
  </si>
  <si>
    <t>2.2.3</t>
  </si>
  <si>
    <t>In-service training in elementary SBC</t>
  </si>
  <si>
    <t>In-service training in primary SBC</t>
  </si>
  <si>
    <t>2.1.7</t>
  </si>
  <si>
    <t>Expand pre-service ECCE training</t>
  </si>
  <si>
    <t>18. Number of teachers employed</t>
  </si>
  <si>
    <t>14. # &amp; % of teachers with minimum teaching qualification</t>
  </si>
  <si>
    <t>Primary 82% diploma; Secondary 72% degree; TVET 85% diploma</t>
  </si>
  <si>
    <t>TED/Provinces/NGOs</t>
  </si>
  <si>
    <t>NIST/PIST</t>
  </si>
  <si>
    <t>2.2.4</t>
  </si>
  <si>
    <t>2.2.5</t>
  </si>
  <si>
    <t>2.2.6</t>
  </si>
  <si>
    <t>2.2.7</t>
  </si>
  <si>
    <t>Provinces</t>
  </si>
  <si>
    <t xml:space="preserve">TED/HEIs </t>
  </si>
  <si>
    <t>GPE ESPIG Component 1</t>
  </si>
  <si>
    <t>CDD</t>
  </si>
  <si>
    <t>2.2.8</t>
  </si>
  <si>
    <t>In-service training in primary maths and science</t>
  </si>
  <si>
    <t>TED/STC</t>
  </si>
  <si>
    <t>Special Maths &amp; Science Program</t>
  </si>
  <si>
    <t>UoT</t>
  </si>
  <si>
    <t>Teacher Qualification Upgrading Program</t>
  </si>
  <si>
    <t>DFAT PPF (10 provinces)</t>
  </si>
  <si>
    <t>DFAT PPF (3 provinces); pre-service also at UoG</t>
  </si>
  <si>
    <t>Update primary pre-service maths and science courses</t>
  </si>
  <si>
    <t>GPE ESPIG Component 2</t>
  </si>
  <si>
    <t>2.1.8</t>
  </si>
  <si>
    <t>TED/UoT</t>
  </si>
  <si>
    <t>CDD/TED</t>
  </si>
  <si>
    <t>Teacher Education Division</t>
  </si>
  <si>
    <t>Curriculum Development Division</t>
  </si>
  <si>
    <t>NGO</t>
  </si>
  <si>
    <t>Non-government organisation</t>
  </si>
  <si>
    <t>CEA</t>
  </si>
  <si>
    <t>Church education agency</t>
  </si>
  <si>
    <t>HEI</t>
  </si>
  <si>
    <t>Higher education institution</t>
  </si>
  <si>
    <t>UoG</t>
  </si>
  <si>
    <t>University of Goroka</t>
  </si>
  <si>
    <t>University of Technology (UNITECH)</t>
  </si>
  <si>
    <t>For the Department to divest responsibility for the state run Technical and Teacher Colleges to the DHERST</t>
  </si>
  <si>
    <t>2.1.9</t>
  </si>
  <si>
    <t>Transfer of TTC staff and budget activities to DHERST</t>
  </si>
  <si>
    <t>TED/DHERST</t>
  </si>
  <si>
    <t>Train more female science and maths teachers</t>
  </si>
  <si>
    <t>TDP</t>
  </si>
  <si>
    <t>Develop and publish Teacher Development Plan, including projections</t>
  </si>
  <si>
    <t>Publish and distribute the National Teachers'  Standards Policy (National Teachers' Competency Framework)</t>
  </si>
  <si>
    <t>Update teacher in-service training needs analysis &amp; Teacher Professional development Plan</t>
  </si>
  <si>
    <t>Teacher Professional Development Plan</t>
  </si>
  <si>
    <t>National Teachers' Standards Policy</t>
  </si>
  <si>
    <t>E-learning In-service Program</t>
  </si>
  <si>
    <t>School Libraries In-service Program</t>
  </si>
  <si>
    <t>2.2.9</t>
  </si>
  <si>
    <t>2.2.10</t>
  </si>
  <si>
    <t>TED/ICT</t>
  </si>
  <si>
    <t>TED/OLA</t>
  </si>
  <si>
    <t>15. % of teachers accessing in-service training</t>
  </si>
  <si>
    <t>Develop a cadre of teachers/instructors to staff ECE centres</t>
  </si>
  <si>
    <t>Establish guidelines for ECCE teacher training course content</t>
  </si>
  <si>
    <t>CDD/TED/DfCDR</t>
  </si>
  <si>
    <t>DfCDR/NGOs/CEA</t>
  </si>
  <si>
    <t>DfCDR</t>
  </si>
  <si>
    <t>Department for Community Development &amp; Religion</t>
  </si>
  <si>
    <t>Department for Higher Education, Research, Science and Technology</t>
  </si>
  <si>
    <t>2.1.10</t>
  </si>
  <si>
    <t>STC</t>
  </si>
  <si>
    <t>Save the Children</t>
  </si>
  <si>
    <t xml:space="preserve">2933 secondary teachers </t>
  </si>
  <si>
    <t>ECCE Teacher Training Course</t>
  </si>
  <si>
    <t>Number of teachers trained</t>
  </si>
  <si>
    <t>TBD</t>
  </si>
  <si>
    <t>Curriculum</t>
  </si>
  <si>
    <t>Set up SBC quality assurance system, providing curriculum feedback to inform revisions</t>
  </si>
  <si>
    <t>Produce supplementary SBC learning materials, including teacher and student resource books for all grades</t>
  </si>
  <si>
    <t>Ensure TVET programs use approved curriculum and are aligned to industry standards and needs</t>
  </si>
  <si>
    <t>Provide curriculum in the social and emotional domain (character and values /civics and ethics education) with emphasis on social and community values, cooperation, problem solving, self discipline and critical thinking</t>
  </si>
  <si>
    <t>Develop and implement curriculum, strengthening STEM curriculum and incorporating gender sensitivity and learning capacity for all levels</t>
  </si>
  <si>
    <t>Develop a clear direction for excellence in schools and National High Schools</t>
  </si>
  <si>
    <t xml:space="preserve">Conduct TOT and Cluster training workshops for Senior Primary and Junior Secondary Schools in all 22 provinces across the country to help teachers teach SBC </t>
  </si>
  <si>
    <t>3.1.1</t>
  </si>
  <si>
    <t>3.1.2</t>
  </si>
  <si>
    <t>3.1.3</t>
  </si>
  <si>
    <t>3.1.4</t>
  </si>
  <si>
    <t>3.1.5</t>
  </si>
  <si>
    <t>22. % of schools at each level using the SBC National Curriculum Statement, syllabuses and teachers guides</t>
  </si>
  <si>
    <t>Implement e-learning suitable for Papua New Guinea</t>
  </si>
  <si>
    <t>E learning</t>
  </si>
  <si>
    <t>Use ICT to enhance teaching and learning</t>
  </si>
  <si>
    <t>3.2.1</t>
  </si>
  <si>
    <t>3.2.2</t>
  </si>
  <si>
    <t>3.2.3</t>
  </si>
  <si>
    <t>3.2.4</t>
  </si>
  <si>
    <t>3.2.5</t>
  </si>
  <si>
    <t xml:space="preserve">e-Learning ON AIR SCHOOL BROADCAST PROGRAMS </t>
  </si>
  <si>
    <t>Development of e-Learning  Policy, Planning Framework and Infrastructure Plan</t>
  </si>
  <si>
    <t>E learning plan</t>
  </si>
  <si>
    <t>% of schools using EQUITV</t>
  </si>
  <si>
    <t>ELD</t>
  </si>
  <si>
    <t>Early Childhood</t>
  </si>
  <si>
    <t>Ensure  first year of school (preparatory) as an early-childhood education approach, as a transition from home, providing socialisation and foundation literacy and numeracy in readiness for primary school</t>
  </si>
  <si>
    <t>3.3.1</t>
  </si>
  <si>
    <t>3.3.2</t>
  </si>
  <si>
    <t>3.3.3</t>
  </si>
  <si>
    <t>CDD / DfCDR</t>
  </si>
  <si>
    <t>CDD / PPR / DfCDR</t>
  </si>
  <si>
    <t>Assessment</t>
  </si>
  <si>
    <t>Establish a sustainable national learning assessment system</t>
  </si>
  <si>
    <t>Increase awareness of need to include children with special needs in mainstream classes where appropriate</t>
  </si>
  <si>
    <t>National Exams Marking for 10 WEX and 12 Objectives</t>
  </si>
  <si>
    <t>Capacity building - staff training and competency improvement</t>
  </si>
  <si>
    <t>Development of a grade three assessment test to fill the evidence gap on the impact of quality initiatives on early learning</t>
  </si>
  <si>
    <t>Workshops for exam writers, PESs, WEX coords</t>
  </si>
  <si>
    <t>National Examinations &amp; Certificates Printing and distribution for Grades 8, 10 &amp; 12</t>
  </si>
  <si>
    <t>3.3.4</t>
  </si>
  <si>
    <t>3.3.5</t>
  </si>
  <si>
    <t>3.3.6</t>
  </si>
  <si>
    <t>3.3.7</t>
  </si>
  <si>
    <t>Literacy and numeracy progress benchmarked</t>
  </si>
  <si>
    <t>Assessment workshops for schools</t>
  </si>
  <si>
    <t>27. % of schools using assessment for learning system</t>
  </si>
  <si>
    <t>MSD</t>
  </si>
  <si>
    <t>MSD / Prov</t>
  </si>
  <si>
    <t>MSD / CDD</t>
  </si>
  <si>
    <t>28. Students receiving Grade 8 and Grade 10 certificates of education</t>
  </si>
  <si>
    <t>Budget allocation by NEP strategy (K mills)</t>
  </si>
  <si>
    <t>elem</t>
  </si>
  <si>
    <t>prim</t>
  </si>
  <si>
    <t>sec</t>
  </si>
  <si>
    <t>voc</t>
  </si>
  <si>
    <t>Tr colls</t>
  </si>
  <si>
    <t>Tech</t>
  </si>
  <si>
    <t>Other</t>
  </si>
  <si>
    <t>Strat #</t>
  </si>
  <si>
    <t>e</t>
  </si>
  <si>
    <t>Other contributions in K'000s</t>
  </si>
  <si>
    <t>Elem</t>
  </si>
  <si>
    <t>DfRCD</t>
  </si>
  <si>
    <t>Prim</t>
  </si>
  <si>
    <t>Sec</t>
  </si>
  <si>
    <t>Voc</t>
  </si>
  <si>
    <t>Tr Colls</t>
  </si>
  <si>
    <t>TVET Division</t>
  </si>
  <si>
    <t>TESAS</t>
  </si>
  <si>
    <t>Development budget</t>
  </si>
  <si>
    <t>SMART Specialisation</t>
  </si>
  <si>
    <t>Tech / BC Rehab</t>
  </si>
  <si>
    <t>Tr College rehab</t>
  </si>
  <si>
    <t>Focus area 1</t>
  </si>
  <si>
    <t>Focus area 2</t>
  </si>
  <si>
    <t>Focus area 3</t>
  </si>
  <si>
    <t>Focus area 4</t>
  </si>
  <si>
    <t>Focus area 5</t>
  </si>
  <si>
    <t>Focus area 6</t>
  </si>
  <si>
    <t>GPE ESPIG Component 3 $ or K</t>
  </si>
  <si>
    <t>Liaise with TVETD to develop curriculum for TVET courses in secondary schools</t>
  </si>
  <si>
    <t>CDD / TVETD</t>
  </si>
  <si>
    <t>Universal Education</t>
  </si>
  <si>
    <t>1.1.1</t>
  </si>
  <si>
    <t>1.1.2</t>
  </si>
  <si>
    <t>Remove barriers rrstricting access to 13 years of education for children from the age of six</t>
  </si>
  <si>
    <t>Plan school system to achieve Universal Education</t>
  </si>
  <si>
    <t>PPR</t>
  </si>
  <si>
    <t xml:space="preserve">  </t>
  </si>
  <si>
    <t>Infrastructure</t>
  </si>
  <si>
    <t>Develop and implement national infrastructure design standards for all building projects, to cover</t>
  </si>
  <si>
    <t>Set up quality assurance system to ensure all buildings meet design standards</t>
  </si>
  <si>
    <t>Implement the School Infrastructure Partnership Prog</t>
  </si>
  <si>
    <t>Build classrooms, schools, colleges, etc. to cater for projected student numbers</t>
  </si>
  <si>
    <t>PMU</t>
  </si>
  <si>
    <t>PMU / Prov / Schools</t>
  </si>
  <si>
    <t>Plans endorsed by PEBs</t>
  </si>
  <si>
    <t>Develop e-learning and infrastructure adaptation program to provide access to learning through the use or technology any time, anywhere - see strateg 27</t>
  </si>
  <si>
    <t>Provide water sanitation and hygiene (WASH)</t>
  </si>
  <si>
    <t>Provide all teachers with reasonable and affordable accommodation</t>
  </si>
  <si>
    <t>PMU / PPR</t>
  </si>
  <si>
    <t>Endorse standards and ensure existing facilites meet standards</t>
  </si>
  <si>
    <t>3.3.8</t>
  </si>
  <si>
    <t>Develop teacher housing policy</t>
  </si>
  <si>
    <t>Housing policy endorsed</t>
  </si>
  <si>
    <t>Prov / schools</t>
  </si>
  <si>
    <t>School fees</t>
  </si>
  <si>
    <t>Continue to implement and enhance TFF system</t>
  </si>
  <si>
    <t>1.2.1</t>
  </si>
  <si>
    <t>1.2.2</t>
  </si>
  <si>
    <t>1.2.3</t>
  </si>
  <si>
    <t>1.2.4</t>
  </si>
  <si>
    <t>1.2.5</t>
  </si>
  <si>
    <t>1.2.6</t>
  </si>
  <si>
    <t>1.2.7</t>
  </si>
  <si>
    <t>Visit provinces to monitor usage</t>
  </si>
  <si>
    <t>No. of provinces with responsibiity for TFF</t>
  </si>
  <si>
    <t xml:space="preserve">TFF  </t>
  </si>
  <si>
    <t>Equity</t>
  </si>
  <si>
    <t>Include awareness of equity in all programs and initiatives and review existing policies</t>
  </si>
  <si>
    <t>Get out-of-school children into school or learning programs and keep in education those at risk of leaving</t>
  </si>
  <si>
    <t>Conduct disaster risk reduction and climate change adaption</t>
  </si>
  <si>
    <t>Restructure school system</t>
  </si>
  <si>
    <t>1.4.1</t>
  </si>
  <si>
    <t>1.4.2</t>
  </si>
  <si>
    <t>1.4.3</t>
  </si>
  <si>
    <t>1.4.4</t>
  </si>
  <si>
    <t>1.4.5</t>
  </si>
  <si>
    <t>To update Gender Equity in Educaton Policy</t>
  </si>
  <si>
    <t>To develop strategies for OOSC based on OOSC report</t>
  </si>
  <si>
    <t>To develop and implement a project for OOSC</t>
  </si>
  <si>
    <t>GEEP endorsed</t>
  </si>
  <si>
    <t>1.2 Gender parity index, by level</t>
  </si>
  <si>
    <t>Elem 1, Prim 0.95, Sec 0.95</t>
  </si>
  <si>
    <t>1.9 Number of Out of School Children</t>
  </si>
  <si>
    <t>GES</t>
  </si>
  <si>
    <t>1.4.6</t>
  </si>
  <si>
    <t>GCD</t>
  </si>
  <si>
    <t>To visit schools and provide awareness on issues of GBV and other social issues</t>
  </si>
  <si>
    <t>To develop e-Learning content</t>
  </si>
  <si>
    <t>To upload content to web site</t>
  </si>
  <si>
    <t>ELD / UNESCO</t>
  </si>
  <si>
    <t>ELD / ICT</t>
  </si>
  <si>
    <t>UNESCO</t>
  </si>
  <si>
    <t>1.4.7</t>
  </si>
  <si>
    <t>To strengthen awareness of disaster preparedness in schools by implementing Emergency in Education and Disaster Risk Management Policy.</t>
  </si>
  <si>
    <t>Alternate pathways</t>
  </si>
  <si>
    <t>Technical and Vocational Education and Training (TVET</t>
  </si>
  <si>
    <t>Introduce a regulatory framework for TVET by passing a Skills Training Act</t>
  </si>
  <si>
    <t>Deliver all TVET under the National Qualifications Framework using nationally certified courses</t>
  </si>
  <si>
    <t>Register institutions which deliver TVET certificate courses and meet quality and industry standards</t>
  </si>
  <si>
    <t>. Develop and promote an understanding among parents and students of TVET educational pathways, purpose and routes to employment</t>
  </si>
  <si>
    <t>Develop TVET as a viable pathway from the mainstream education system for any student from grade 9  onwards (vocational studies in schools and/or dedicated vocational schools)</t>
  </si>
  <si>
    <t>Ensure TVET is seen as flexible and open to all students, providing technical and vocational/job skills</t>
  </si>
  <si>
    <t>Successful completion of nationally recognised and accredited TVET certificate (II)  provides entry into post-secondary TVET certificate (III) and beyond</t>
  </si>
  <si>
    <t>Support provinces to plan for increased TVET provision, to meet local need</t>
  </si>
  <si>
    <t>Strengthen system of FODE and links between FODE, traditional schooling and TVET to provide viable options for student movement between systems</t>
  </si>
  <si>
    <t>Promote public awareness of FODE as an option for study outside conventional schools</t>
  </si>
  <si>
    <t>Flexible Open and Distance Educatioon (FODE)</t>
  </si>
  <si>
    <t>4.1.1</t>
  </si>
  <si>
    <t>4.1.2</t>
  </si>
  <si>
    <t>4.2.1</t>
  </si>
  <si>
    <t>4.2.2</t>
  </si>
  <si>
    <t>4.2.3</t>
  </si>
  <si>
    <t>4.2.4</t>
  </si>
  <si>
    <t>Community Programs</t>
  </si>
  <si>
    <t>Run National Literacy Program</t>
  </si>
  <si>
    <t>4.3.1</t>
  </si>
  <si>
    <t>4.3.2</t>
  </si>
  <si>
    <t>4.3.3</t>
  </si>
  <si>
    <t>To review current Provincial TVET Plans to meet provincial demands based on National TVET policies &amp; strategies.</t>
  </si>
  <si>
    <t xml:space="preserve">To conduct provincial TVET coordinators conference to appraise and strategize provincial  TVET development update and needs. </t>
  </si>
  <si>
    <t>TVET Curr</t>
  </si>
  <si>
    <t>To actively participate in meetings and conferences to provide awareness campaigns at educational institutions.</t>
  </si>
  <si>
    <t xml:space="preserve">To design and Implement the National Certificates , Technical Training Certificate, Diploma and National Diploma courses Training Packages, Assessement Instruments Resources, tools and Equipment in various TVET Institutions in CBT&amp;A Delivery Mode </t>
  </si>
  <si>
    <t>To administer the operations of the state Technical colleges</t>
  </si>
  <si>
    <t>TVET oper</t>
  </si>
  <si>
    <t>29. Number of students enrolled in vocational programmes by gender</t>
  </si>
  <si>
    <t>Male 31,650
Female 21,100</t>
  </si>
  <si>
    <t>Male 7750
Female  9150</t>
  </si>
  <si>
    <t>30. Number of FODE enrolments by gender</t>
  </si>
  <si>
    <t>31. Number of vocational, secondary schools, polytechnics, non-trade and trade flexible open-learning institutions operational</t>
  </si>
  <si>
    <t>1 VC per district
1 Tech or Bus college per province
1 polytechnic per region</t>
  </si>
  <si>
    <t>To facilitate support Grants to 22 FODE Provincial Centres</t>
  </si>
  <si>
    <t>To print and freight study materials to provinces</t>
  </si>
  <si>
    <t>To administer FODE project</t>
  </si>
  <si>
    <t>To review and revise the National Literacy Policy</t>
  </si>
  <si>
    <t>FODE</t>
  </si>
  <si>
    <t>FODE / GES</t>
  </si>
  <si>
    <t>To establish the  National Literacy and Awareness Council (NLAC)</t>
  </si>
  <si>
    <t>To monitor and Assess Literacy Program Providers</t>
  </si>
  <si>
    <t>TVET Oper</t>
  </si>
  <si>
    <t>To design and endorse standardised buildings</t>
  </si>
  <si>
    <t>To develop infrastructure programs for provinces and districts</t>
  </si>
  <si>
    <t>TVET curr</t>
  </si>
  <si>
    <t>To design and develop VCD curriculum</t>
  </si>
  <si>
    <t>TVET Insp</t>
  </si>
  <si>
    <t>Local management</t>
  </si>
  <si>
    <t>4.1.3</t>
  </si>
  <si>
    <t>4.1.4</t>
  </si>
  <si>
    <t>4.1.5</t>
  </si>
  <si>
    <t>4.1.6</t>
  </si>
  <si>
    <t>4.1.7</t>
  </si>
  <si>
    <t>4.1.8</t>
  </si>
  <si>
    <t>4.1.9</t>
  </si>
  <si>
    <t>5.1.1</t>
  </si>
  <si>
    <t>5.2.1</t>
  </si>
  <si>
    <t>5.2.2</t>
  </si>
  <si>
    <t>5.2.3</t>
  </si>
  <si>
    <t>5.2.4</t>
  </si>
  <si>
    <t>Build leadership in schools</t>
  </si>
  <si>
    <t>School leadership</t>
  </si>
  <si>
    <t>School planning and management</t>
  </si>
  <si>
    <t>Develop and implement School Learning Improvement  Plans</t>
  </si>
  <si>
    <t>Improve financial management of education institutions</t>
  </si>
  <si>
    <t>Improve standard of school operation and management</t>
  </si>
  <si>
    <t>Strengthen and support behaviour management systems in schools</t>
  </si>
  <si>
    <t>Improve community and stakeholder participation</t>
  </si>
  <si>
    <t>Build and maintain school libraries and manage locally</t>
  </si>
  <si>
    <t>System strengthening</t>
  </si>
  <si>
    <t>6.1.1</t>
  </si>
  <si>
    <t>6.1.2</t>
  </si>
  <si>
    <t>6.1.3</t>
  </si>
  <si>
    <t>Communication, connectivity and information systems</t>
  </si>
  <si>
    <t>Improve communication and access to information across MoE and all levels of education</t>
  </si>
  <si>
    <t>Planning and coordination</t>
  </si>
  <si>
    <t>Improve planning</t>
  </si>
  <si>
    <t>Improve policy</t>
  </si>
  <si>
    <t>Monitor, evaluate, report and ensure accountability</t>
  </si>
  <si>
    <t>Improve coordination</t>
  </si>
  <si>
    <t>Establish government-wide Integrated Financial Management System (IFMS) with reporting requirements and timelines</t>
  </si>
  <si>
    <t>Financial management</t>
  </si>
  <si>
    <t>Improve NDoE asset management</t>
  </si>
  <si>
    <t>Ensure all claim and payment account processing complies with Public Finances (Management) Act</t>
  </si>
  <si>
    <t>Create transparent centralised and streamlined procurement system</t>
  </si>
  <si>
    <t>Establish single payroll system, with decentralised operation and national quality assurance</t>
  </si>
  <si>
    <t>Develop SBC Syllabuses and Teacher Guides and Teacher Training Manuals for Junior Secondary Schools</t>
  </si>
  <si>
    <t>Develop SBC Syllabuses and Teacher Guides and Teacher Training Manuals for Senior Primary Schools</t>
  </si>
  <si>
    <t>Implement the National School Leadership Competency Framework  through leadership training for current and future headteachers</t>
  </si>
  <si>
    <t>Financial management training for headteachers and school boards</t>
  </si>
  <si>
    <t>Establish a school-based counsellor in every school</t>
  </si>
  <si>
    <t>Implement Parents for Quality Education Program</t>
  </si>
  <si>
    <t>Build and maintain school libraries</t>
  </si>
  <si>
    <t>Publish National Quality Schools Standards Framework</t>
  </si>
  <si>
    <t>5.2.5</t>
  </si>
  <si>
    <t>5.2.6</t>
  </si>
  <si>
    <t>5.2.7</t>
  </si>
  <si>
    <t>5.2.8</t>
  </si>
  <si>
    <t>5.2.9</t>
  </si>
  <si>
    <t>5.2.10</t>
  </si>
  <si>
    <t>Develop and publish standards for ECE centres</t>
  </si>
  <si>
    <t>NQSSF</t>
  </si>
  <si>
    <t>SD</t>
  </si>
  <si>
    <t>ECCE Minimum Operating Standards</t>
  </si>
  <si>
    <t>Support schools to develop and implement SLIPs</t>
  </si>
  <si>
    <t>35. % of schools with SLIPs</t>
  </si>
  <si>
    <t>School/SBC ratio</t>
  </si>
  <si>
    <t>Carry out 1 x visit to each school and conduct quality whole school assesment and report to relevant authorities</t>
  </si>
  <si>
    <t>5.2.11</t>
  </si>
  <si>
    <t>Conduct teacher appraisals and Ratings Conferences</t>
  </si>
  <si>
    <t>Training for inspectors</t>
  </si>
  <si>
    <t>Training for Guidance Officers</t>
  </si>
  <si>
    <t>Support schools to implement the National Behaviour Management Policy &amp; educational guidance</t>
  </si>
  <si>
    <t>5.2.12</t>
  </si>
  <si>
    <t>5.2.13</t>
  </si>
  <si>
    <t>5.2.14</t>
  </si>
  <si>
    <t>TED/SD</t>
  </si>
  <si>
    <t>PPD/SD</t>
  </si>
  <si>
    <t>PPD</t>
  </si>
  <si>
    <t>CDD/SD/DfCDR</t>
  </si>
  <si>
    <t>ICT systems national, regional, provincial and district</t>
  </si>
  <si>
    <t>Closed-User Group phone network</t>
  </si>
  <si>
    <t>Annual Operational and Financial Plan development</t>
  </si>
  <si>
    <t>Support for provincial education plans</t>
  </si>
  <si>
    <t>Publish National Education Policy Standards Framework</t>
  </si>
  <si>
    <t>Audit NDoE policies</t>
  </si>
  <si>
    <t>Train NDoE officers in policy development</t>
  </si>
  <si>
    <t>Donor alignment</t>
  </si>
  <si>
    <t>MySchool data collection pilot</t>
  </si>
  <si>
    <t>For school inspection, please refer to FA 5</t>
  </si>
  <si>
    <t>Joint Education Sector Reviews</t>
  </si>
  <si>
    <t>Internal audit</t>
  </si>
  <si>
    <t>Procurement management strengthening</t>
  </si>
  <si>
    <t>Asset management strengthening</t>
  </si>
  <si>
    <t>PaBER  &amp; SABER capacity assessments</t>
  </si>
  <si>
    <t>Update Human Resource Management Policy</t>
  </si>
  <si>
    <t>Human resources</t>
  </si>
  <si>
    <t>6.2.1</t>
  </si>
  <si>
    <t>6.3.1</t>
  </si>
  <si>
    <t>Improve staffing, teaching and public service</t>
  </si>
  <si>
    <t>Improve efficiency of teacher employment</t>
  </si>
  <si>
    <t>Improve public servant recruitment, appointment and succession planning</t>
  </si>
  <si>
    <t>Improve school services</t>
  </si>
  <si>
    <t>Create accessible libraries, records and documents</t>
  </si>
  <si>
    <t>Transfer of NCDES to NCDC</t>
  </si>
  <si>
    <t>6.4.1</t>
  </si>
  <si>
    <t>IFMS training and operation</t>
  </si>
  <si>
    <t>Create Teacher Registration Board</t>
  </si>
  <si>
    <t>Teacher salaries</t>
  </si>
  <si>
    <t>Teacher leave fares</t>
  </si>
  <si>
    <t>Public servant professional development and appraisal</t>
  </si>
  <si>
    <t>Review of public servant housing</t>
  </si>
  <si>
    <t>Improved school registration</t>
  </si>
  <si>
    <t>Digitise records as part of Integrated Government Information System</t>
  </si>
  <si>
    <t>Transfer NCDES to NCDC</t>
  </si>
  <si>
    <t>Outsource public servant recruitment</t>
  </si>
  <si>
    <t>Establish TSC offices in all provinces</t>
  </si>
  <si>
    <t>40. % of schools submitting school census data</t>
  </si>
  <si>
    <t>32. % of principals with training, inclusive of financial management training &amp; 41. NSLC published</t>
  </si>
  <si>
    <t>32. 100% &amp; 41. NSCL</t>
  </si>
  <si>
    <t>42. % of schools inspected at least once annually</t>
  </si>
  <si>
    <t>FD</t>
  </si>
  <si>
    <t>Annual financial plans and reports</t>
  </si>
  <si>
    <t>47. Annual NDoE financial report submitted to DoF</t>
  </si>
  <si>
    <t>Annually</t>
  </si>
  <si>
    <t>46. % of advances and allowances fully acquitted</t>
  </si>
  <si>
    <t>48. Quality assessment of education policies</t>
  </si>
  <si>
    <t>Established level</t>
  </si>
  <si>
    <t>RED</t>
  </si>
  <si>
    <t>49. NEP review and evaluation</t>
  </si>
  <si>
    <t>Annual</t>
  </si>
  <si>
    <t>National Education Plan development</t>
  </si>
  <si>
    <t>50. % of provinces submitting EMIS data electronically</t>
  </si>
  <si>
    <t>ICTD/EMIS</t>
  </si>
  <si>
    <t>EMIS</t>
  </si>
  <si>
    <t>ICTD</t>
  </si>
  <si>
    <t>EMIS/ICTD</t>
  </si>
  <si>
    <t>Teacher payroll management</t>
  </si>
  <si>
    <t>HROD</t>
  </si>
  <si>
    <t>3.4 % of schools using accounting system or combined cash book; 3.5 % of schools submitting acquittals &amp; 3.3 % of schools spending TFF on approved items</t>
  </si>
  <si>
    <t>3.1 No. of teachers and school officials put back on payroll by end of April annually compared with March payroll &amp; 3.2 Teaching position vacancies</t>
  </si>
  <si>
    <t>ProD</t>
  </si>
  <si>
    <t>AD</t>
  </si>
  <si>
    <t>NDoE Annual Report</t>
  </si>
  <si>
    <t>3.7 NDoE annual report tabled in Parliament on time with 100% coverage of budget activities</t>
  </si>
  <si>
    <t>Annual school census &amp; EMIS maintenance</t>
  </si>
  <si>
    <t>World Bank</t>
  </si>
  <si>
    <t>FD/PPD</t>
  </si>
  <si>
    <t>45. % of teachers' salaries appropriation spent (through provincial budgets)</t>
  </si>
  <si>
    <t>HROD/provinces</t>
  </si>
  <si>
    <t>44. % of total national education system appropriations allocated to personal emoluments</t>
  </si>
  <si>
    <t>TED/TSC</t>
  </si>
  <si>
    <t>TSC</t>
  </si>
  <si>
    <t>Policy and Planning Division</t>
  </si>
  <si>
    <t>ICT Division</t>
  </si>
  <si>
    <t>Finance Division</t>
  </si>
  <si>
    <t>Audit Division</t>
  </si>
  <si>
    <t>Research and Evaluation Division</t>
  </si>
  <si>
    <t>PPD/RED</t>
  </si>
  <si>
    <t>Human Resources and Organisational Development Divison</t>
  </si>
  <si>
    <t>Teaching Service Commission</t>
  </si>
  <si>
    <t>Emoluments and goods &amp; services Standards Division</t>
  </si>
  <si>
    <t>Emoluments and goods &amp; services DHERST</t>
  </si>
  <si>
    <t>2.1.11</t>
  </si>
  <si>
    <t>2.1.12</t>
  </si>
  <si>
    <t>3.1.6</t>
  </si>
  <si>
    <t>Emoluments and goods &amp; services ELD</t>
  </si>
  <si>
    <t>3.2.6</t>
  </si>
  <si>
    <t>Emoluments and goods &amp; services DfCDR</t>
  </si>
  <si>
    <t>Share of DfCDR for ECCE</t>
  </si>
  <si>
    <t>Emoluments and goods &amp; services MSD</t>
  </si>
  <si>
    <t>4.1.10</t>
  </si>
  <si>
    <t>Emoluments and goods &amp; services FODE</t>
  </si>
  <si>
    <t>Emoluments and goods &amp; services OLA</t>
  </si>
  <si>
    <t>4.2.5</t>
  </si>
  <si>
    <t>4.3.4</t>
  </si>
  <si>
    <t>Emoluments and goods &amp; services Guidance &amp; Counselling Division</t>
  </si>
  <si>
    <t>Emoluments and goods &amp; services ICTD</t>
  </si>
  <si>
    <t>Emoluments and goods &amp; services PPD</t>
  </si>
  <si>
    <t>Emoluments and goods &amp; services RED</t>
  </si>
  <si>
    <t>Emoluments and goods &amp; services FD</t>
  </si>
  <si>
    <t>Emoluments and goods &amp; services ProD</t>
  </si>
  <si>
    <t>Emoluments and goods &amp; services AD</t>
  </si>
  <si>
    <t>Emoluments and goods &amp; services GES</t>
  </si>
  <si>
    <t>Emoluments and goods &amp; services HROD</t>
  </si>
  <si>
    <t>Emoluments and goods &amp; services NCDES</t>
  </si>
  <si>
    <t>Emoluments and goods &amp; services TSC</t>
  </si>
  <si>
    <t>Summary</t>
  </si>
  <si>
    <t>Tot</t>
  </si>
  <si>
    <t>FA 1</t>
  </si>
  <si>
    <t>FA 2</t>
  </si>
  <si>
    <t>FA 3</t>
  </si>
  <si>
    <t>FA 4</t>
  </si>
  <si>
    <t>FA 5</t>
  </si>
  <si>
    <t>FA 6</t>
  </si>
  <si>
    <t>Emoluments and goods &amp; services UNESCO</t>
  </si>
  <si>
    <t>Emoluments and goods &amp; services Payroll.</t>
  </si>
  <si>
    <t>Payroll</t>
  </si>
  <si>
    <t>Emoluments and goods &amp; services Ad Coordination</t>
  </si>
  <si>
    <t>To conduct research and evaluation as required</t>
  </si>
  <si>
    <t>Administration of Procurement Operations</t>
  </si>
  <si>
    <t>Payroll / TSC</t>
  </si>
  <si>
    <t>2.1.13</t>
  </si>
  <si>
    <t>Emoluments and goods &amp; services PS Ted</t>
  </si>
  <si>
    <t>Emoluments and goods &amp; services IS Ted</t>
  </si>
  <si>
    <t>Emoluments and goods &amp; services TEDElem Tr Ed</t>
  </si>
  <si>
    <t>2.2.11</t>
  </si>
  <si>
    <t>3.1.7</t>
  </si>
  <si>
    <t>3.1.8</t>
  </si>
  <si>
    <t>Emoluments and goods &amp; services CDA</t>
  </si>
  <si>
    <t>Emoluments and goods &amp; services CPD</t>
  </si>
  <si>
    <t>Emoluments and goods &amp; services CDM</t>
  </si>
  <si>
    <t>4.1.11</t>
  </si>
  <si>
    <t>5.2.15</t>
  </si>
  <si>
    <t>Emoluments and goods &amp; services TVET curr</t>
  </si>
  <si>
    <t>Emoluments and goods &amp; services TVET insp</t>
  </si>
  <si>
    <t>Emoluments and goods &amp; services TVET coord</t>
  </si>
  <si>
    <t>Emoluments and goods &amp; services voc coord</t>
  </si>
  <si>
    <t>4.1.12</t>
  </si>
  <si>
    <t>4.1.13</t>
  </si>
  <si>
    <t>4.1.14</t>
  </si>
  <si>
    <t>Emoluments and goods &amp; services CCLS</t>
  </si>
  <si>
    <t>To disemminate inforamtion regarding education</t>
  </si>
  <si>
    <t>CCLS</t>
  </si>
  <si>
    <t>Emoluments and goods &amp; services Exec Wing, Min Serv, NEB</t>
  </si>
  <si>
    <t>MS / Exec Wing</t>
  </si>
  <si>
    <t>6.2.2</t>
  </si>
  <si>
    <t>6.2.3</t>
  </si>
  <si>
    <t>6.2.4</t>
  </si>
  <si>
    <t>6.2.5</t>
  </si>
  <si>
    <t>6.2.6</t>
  </si>
  <si>
    <t>6.2.7</t>
  </si>
  <si>
    <t>6.2.8</t>
  </si>
  <si>
    <t>6.2.9</t>
  </si>
  <si>
    <t>6.2.10</t>
  </si>
  <si>
    <t>6.2.11</t>
  </si>
  <si>
    <t>6.2.12</t>
  </si>
  <si>
    <t>6.2.13</t>
  </si>
  <si>
    <t>6.2.14</t>
  </si>
  <si>
    <t>6.2.15</t>
  </si>
  <si>
    <t>6.2.16</t>
  </si>
  <si>
    <t>6.2.17</t>
  </si>
  <si>
    <t>6.2.18</t>
  </si>
  <si>
    <t>6.2.19</t>
  </si>
  <si>
    <t>6.2.20</t>
  </si>
  <si>
    <t>6.2.21</t>
  </si>
  <si>
    <t>6.2.22</t>
  </si>
  <si>
    <t>6.2.23</t>
  </si>
  <si>
    <t>To administer UNESCO activities</t>
  </si>
  <si>
    <t>Emoluments and goods &amp; services FODE NHS operations</t>
  </si>
  <si>
    <t>To adminster FODE / NHS</t>
  </si>
  <si>
    <t>4.2.6</t>
  </si>
  <si>
    <t>6.2.24</t>
  </si>
  <si>
    <t>Emoluments and goods &amp; services NHS</t>
  </si>
  <si>
    <t>NHS operations</t>
  </si>
  <si>
    <t>UNESCO plus DFAT</t>
  </si>
  <si>
    <t>Encourage increased access to licensed ECE centres</t>
  </si>
  <si>
    <t>Increase awareness of need to inlude children with special needs in mainstream classes where appropriate</t>
  </si>
  <si>
    <t>2.3.1</t>
  </si>
  <si>
    <t>2.3.2</t>
  </si>
  <si>
    <t>2.3.3</t>
  </si>
  <si>
    <t>UNICEF plus DFAT</t>
  </si>
  <si>
    <t>5.2.16</t>
  </si>
  <si>
    <t>To enhance school operation and management</t>
  </si>
  <si>
    <t>To divest responsibiity for the Tech and Teachers Colleges  to DHERST</t>
  </si>
  <si>
    <t>6.2.25</t>
  </si>
  <si>
    <t>Table 85</t>
  </si>
  <si>
    <t>Provide coordination services inc library and Govt archives</t>
  </si>
  <si>
    <t>Emoluments and goods &amp; services Govt archives</t>
  </si>
  <si>
    <t>6.2.26</t>
  </si>
  <si>
    <t>OLA</t>
  </si>
  <si>
    <t>Aid Coord</t>
  </si>
  <si>
    <t>Archives</t>
  </si>
  <si>
    <t>6. 70% of students have access to water facilities. 7. 70% schools</t>
  </si>
  <si>
    <t>1.2.8</t>
  </si>
  <si>
    <t>4. Number of functional toilets in schools 5. Toilet:pupi ratio (disaggregated by gender)</t>
  </si>
  <si>
    <t>4. 70% increase on 2012. 5. 1:25 females, 1:40 males</t>
  </si>
  <si>
    <t>1.2.9</t>
  </si>
  <si>
    <t>TFF school grants</t>
  </si>
  <si>
    <t>Plan for 1-6-6 school restructure</t>
  </si>
  <si>
    <t>TFF / PPD</t>
  </si>
  <si>
    <t>Devolve TFF responsibility to provinces</t>
  </si>
  <si>
    <t>See FA 5 School Inspection</t>
  </si>
  <si>
    <t>1.4.8</t>
  </si>
  <si>
    <t>3.1.9</t>
  </si>
  <si>
    <t>3.1.10</t>
  </si>
  <si>
    <t>Printing and distribution of junior primary textbooks for Maths and Science</t>
  </si>
  <si>
    <t>CDD/SCA/JICA</t>
  </si>
  <si>
    <t>Printing and distribution of elementary maths textbooks</t>
  </si>
  <si>
    <t>Please see FA 5 Inspection</t>
  </si>
  <si>
    <t>NCD</t>
  </si>
  <si>
    <t>NCDES</t>
  </si>
  <si>
    <t>Tble 82</t>
  </si>
  <si>
    <t>Table 83</t>
  </si>
  <si>
    <t>Table 84</t>
  </si>
  <si>
    <t>Table 86</t>
  </si>
  <si>
    <t>FA1</t>
  </si>
  <si>
    <t>FA2</t>
  </si>
  <si>
    <t>FA3</t>
  </si>
  <si>
    <t>FA4</t>
  </si>
  <si>
    <t>FA5</t>
  </si>
  <si>
    <t>FA6</t>
  </si>
  <si>
    <t>Table 87</t>
  </si>
  <si>
    <t>Table 89</t>
  </si>
  <si>
    <t>Recurrent</t>
  </si>
  <si>
    <t>Prov</t>
  </si>
  <si>
    <t>Other Depts</t>
  </si>
  <si>
    <t>Projects</t>
  </si>
  <si>
    <t>Table 90</t>
  </si>
  <si>
    <t>To provide admin services to Sec and Min inc NEB</t>
  </si>
  <si>
    <t>Table 91</t>
  </si>
  <si>
    <t>Table 97</t>
  </si>
  <si>
    <t>New projects</t>
  </si>
  <si>
    <t>gap</t>
  </si>
  <si>
    <t>1.1.3</t>
  </si>
  <si>
    <t>1.1.4</t>
  </si>
  <si>
    <t>1.1.5</t>
  </si>
  <si>
    <t>1.1.6</t>
  </si>
  <si>
    <t>3. Number and % of schools with libraries</t>
  </si>
  <si>
    <t>To encourage growth of ECE sector</t>
  </si>
  <si>
    <t>DfCDR/provinces/CEA</t>
  </si>
  <si>
    <t>Intersectoral ECCE Policy</t>
  </si>
  <si>
    <t>Please see FA 3</t>
  </si>
  <si>
    <t>6.2.27</t>
  </si>
  <si>
    <t>8. ECCE Policy</t>
  </si>
  <si>
    <t>Work with DfCDR to consult, update and distribute ECE Policy documentation</t>
  </si>
  <si>
    <t>Liaise with DfCDR in development and distribution of ECCE curriculum</t>
  </si>
  <si>
    <t>Work with DfCDR in development of guidelines for establishment of ECCE institutions</t>
  </si>
  <si>
    <t>Guidelines (Minimum Operating Standards) endorsed</t>
  </si>
  <si>
    <t>ECCE Policy endorsed</t>
  </si>
  <si>
    <t>Curriculum endorsed</t>
  </si>
  <si>
    <t>17. % of teachers with housing</t>
  </si>
  <si>
    <t>To include gender issues in all policy documentation</t>
  </si>
  <si>
    <t>Please also refer to FA6 Policy Audit</t>
  </si>
  <si>
    <t>Deelop and implement strategies to improve female particpiation in education</t>
  </si>
  <si>
    <t>Building designs endorsed</t>
  </si>
  <si>
    <t>Please refer to FA5 GCD</t>
  </si>
  <si>
    <t>Special and inclusive education</t>
  </si>
  <si>
    <t>Please refer to FA2</t>
  </si>
  <si>
    <t>23,784 elementary teachers &amp; 9635 primary teachers</t>
  </si>
  <si>
    <t>4311 additional elementary teachers</t>
  </si>
  <si>
    <t>Inclusive Education</t>
  </si>
  <si>
    <t>11. Number and % of special needs students in mainstream education registered with IERC/SERC</t>
  </si>
  <si>
    <t>To prepare teachers to teach children with special needs</t>
  </si>
  <si>
    <t>Operations of Inclusive Education Resource Centres (formally SERCs) and outreach</t>
  </si>
  <si>
    <t>Emoluments and goods &amp; services Inclusive Education</t>
  </si>
  <si>
    <t>19. % of teachers reporting use of approved SBC</t>
  </si>
  <si>
    <t>20. % of schools adequately resourced with SBC materials. 21. % of teachers reporting satisfactory access to SBC learning materials</t>
  </si>
  <si>
    <t>23. % of pre-service colleges using the SBC National Curriculum Statement, syllabuses and teachers guides. 25. % of pre-service colleges using SBC supplementary materials.</t>
  </si>
  <si>
    <t>Printing,  Procurement and distribution of Elementary, Primary &amp; Secondary Standard Based Syllabuses &amp; Teachers Guides &amp; Text books</t>
  </si>
  <si>
    <t>20. % of schools adequately resourced with SBC materials. 24. % of schools at each level using SBC learning materials. 26. Pupil:SBC textbook ratio.</t>
  </si>
  <si>
    <t>Broadcast and roll out EQUITV program</t>
  </si>
  <si>
    <t>Education bench marking - PILNA &amp; CSMT national student assessment</t>
  </si>
  <si>
    <t>To coordinate and operatate the TVET system</t>
  </si>
  <si>
    <t xml:space="preserve"> To carry out inspections for TVET teachers, Managers, Infrastructures and tools and Equipment at  National and  Provincial  Institutions.</t>
  </si>
  <si>
    <t>To administer HRDPII - construction, teacher training and curr. development</t>
  </si>
  <si>
    <t>4.2.7</t>
  </si>
  <si>
    <t>4.2.8</t>
  </si>
  <si>
    <t>NLP endorsed</t>
  </si>
  <si>
    <t>42. % of schools inspected at least once annually. 38. National Quality School Standard Index.</t>
  </si>
  <si>
    <t>To enhance provincal administration and planning</t>
  </si>
  <si>
    <t>SD/Provinces</t>
  </si>
  <si>
    <t>33. % of schools with governance board. 34. % of school governance meetings held</t>
  </si>
  <si>
    <t xml:space="preserve">36. % of schools holding four parent and citizen meetings annually. 37. % of schools holding parent/teacher meetings. </t>
  </si>
  <si>
    <t>1.8 Public expedenditure on education as % of GDP/government expenditure</t>
  </si>
  <si>
    <t>6.0% of GDP</t>
  </si>
  <si>
    <t>2.1 % of students reaching satisfactory regional literacy and numeracy benchmarks. 2.2 % of students reaching national literacy and numeracy standards</t>
  </si>
  <si>
    <t xml:space="preserve">43. % of quarterly operation and financial reports submitted on time and reporting on all budget activities. 3.6 % of education system budgets expended annually. </t>
  </si>
  <si>
    <t>1.1.4. Formula approved by NEB. 12. 10%. 1. 25%.</t>
  </si>
  <si>
    <t>39. Number and % of operational schools that receive TFF.</t>
  </si>
  <si>
    <t>39. 100%</t>
  </si>
  <si>
    <t>Develop and implement equitable TFF formula using PARI as part of major study</t>
  </si>
  <si>
    <t>1. 13,665 (+22%). 2. 33% inc since 2012</t>
  </si>
  <si>
    <t>Unfunded activities</t>
  </si>
  <si>
    <t>Does not require funding</t>
  </si>
  <si>
    <t>Will lead on from 1.4.2</t>
  </si>
  <si>
    <t>Part of another activity</t>
  </si>
  <si>
    <t>Refer to 1.2.6 FA 1</t>
  </si>
  <si>
    <t>Refer to 1.1.3,  FA 1</t>
  </si>
  <si>
    <t>Included elsewhere in Action Plan</t>
  </si>
  <si>
    <t>6.4.2</t>
  </si>
  <si>
    <t>6.4.3</t>
  </si>
  <si>
    <t>6.4.4</t>
  </si>
  <si>
    <t>6.4.5</t>
  </si>
  <si>
    <t>6.4.6</t>
  </si>
  <si>
    <t>6.4.7</t>
  </si>
  <si>
    <t>6.4.8</t>
  </si>
  <si>
    <t>6.4.9</t>
  </si>
  <si>
    <t>6.4.10</t>
  </si>
  <si>
    <t>6.4.11</t>
  </si>
  <si>
    <t>6.4.12</t>
  </si>
  <si>
    <t>6.4.13</t>
  </si>
  <si>
    <t>6.4.14</t>
  </si>
  <si>
    <t>6.4.15</t>
  </si>
  <si>
    <t>6.4.16</t>
  </si>
  <si>
    <t>6.4.17</t>
  </si>
  <si>
    <t>Does not require funding - routine work</t>
  </si>
  <si>
    <t>20% of OOSC will receive education</t>
  </si>
  <si>
    <t>20. 90%  (elem, prim) 50% (sec)
21. 90% (elem, prim) 50% (sec)</t>
  </si>
  <si>
    <t>20. 90%  (elem, prim) 50% (sec)
24. 90%  (elem, prim) 50% (sec)
26. 1:1 (elem, prim) 3:1 (sec)</t>
  </si>
  <si>
    <t>20. 90% 
24. 90% 
26. 1:1</t>
  </si>
  <si>
    <t>2.1 Num 55%, Reading 65%, Writing 25%. 
2.2 20% increase from baseline</t>
  </si>
  <si>
    <t>3.4. 90% 
3.5 TBD 
3.3 90%</t>
  </si>
  <si>
    <t>2 to 1 (sec)</t>
  </si>
  <si>
    <t>43. 90%.
3.6. 90%</t>
  </si>
  <si>
    <t>3.1 TBD (baseline 81%) 
3.2 TBD</t>
  </si>
  <si>
    <t>36. 90%. 
37. 90%</t>
  </si>
  <si>
    <t>42. 90%. 
38. 20% increase.</t>
  </si>
  <si>
    <t>16. 25% increase. 
1.10. 25% increase</t>
  </si>
  <si>
    <t>16. % of teachers meeting minimum teacher standards by level. 
1.10 Number and % of teachers meeting national performance standards</t>
  </si>
  <si>
    <t>1. Number of schools operational, by sector. 
2. Number of classrooms by sector and type</t>
  </si>
  <si>
    <t>6. % of schools with functional water facilities. 
7. % of schools with handwashing facilities &amp; running water &amp; soap</t>
  </si>
  <si>
    <t>12. Difference in Prep to G8 NER between best and worst provinces. 
13. Difference in Prep to G8 NER between best and worst districts.</t>
  </si>
  <si>
    <t>Strategy No</t>
  </si>
  <si>
    <t>Strategy no.</t>
  </si>
  <si>
    <t>Development of ECE policy and guidlelines</t>
  </si>
  <si>
    <t>6.3.2</t>
  </si>
  <si>
    <t>6.3.3</t>
  </si>
  <si>
    <t>6.3.4</t>
  </si>
  <si>
    <t>6.3.5</t>
  </si>
  <si>
    <t>6.3.6</t>
  </si>
  <si>
    <t>6.3.7</t>
  </si>
  <si>
    <t>6.3.8</t>
  </si>
  <si>
    <t>6.3.9</t>
  </si>
  <si>
    <t>Level</t>
  </si>
  <si>
    <t>Nat</t>
  </si>
  <si>
    <t>Prov / Sch</t>
  </si>
  <si>
    <t>level</t>
  </si>
  <si>
    <t>School</t>
  </si>
  <si>
    <t>33. 90%. 
34. 90%</t>
  </si>
  <si>
    <t>To build functional water facilities to approved standards</t>
  </si>
  <si>
    <t>To build classrooms to approved standards</t>
  </si>
  <si>
    <t>To build toilets to approved standards</t>
  </si>
  <si>
    <t>To build libraries to approved standards</t>
  </si>
  <si>
    <t>Build houses to approved standards</t>
  </si>
  <si>
    <t>Primary and elementary pre-service teacher training at 12 TTCs to cater for expected student numbers</t>
  </si>
  <si>
    <t>Prim 80%, Secondary 95%</t>
  </si>
  <si>
    <t>23. 90%. 
25.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</si>
</sst>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67" formatCode="0.000"/>
    <numFmt numFmtId="168" formatCode="_-* #,##0.0_-;\-* #,##0.0_-;_-* &quot;-&quot;??_-;_-@_-"/>
    <numFmt numFmtId="169" formatCode="0.0000"/>
    <numFmt numFmtId="170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9"/>
      <color theme="1"/>
      <name val="Arial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5"/>
      <name val="Calibri"/>
      <family val="2"/>
      <scheme val="minor"/>
    </font>
    <font>
      <sz val="6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0" fillId="0" borderId="0" xfId="0" applyAlignment="1"/>
    <xf numFmtId="0" fontId="1" fillId="0" borderId="0" xfId="0" applyFont="1" applyAlignment="1"/>
    <xf numFmtId="0" fontId="7" fillId="0" borderId="0" xfId="0" applyFont="1"/>
    <xf numFmtId="0" fontId="6" fillId="0" borderId="1" xfId="0" applyFont="1" applyBorder="1"/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8" xfId="0" applyFont="1" applyBorder="1"/>
    <xf numFmtId="0" fontId="10" fillId="0" borderId="0" xfId="2"/>
    <xf numFmtId="0" fontId="10" fillId="0" borderId="1" xfId="2" applyBorder="1"/>
    <xf numFmtId="0" fontId="10" fillId="2" borderId="1" xfId="2" applyFill="1" applyBorder="1"/>
    <xf numFmtId="165" fontId="10" fillId="2" borderId="1" xfId="2" applyNumberFormat="1" applyFill="1" applyBorder="1"/>
    <xf numFmtId="2" fontId="10" fillId="0" borderId="0" xfId="2" applyNumberFormat="1"/>
    <xf numFmtId="0" fontId="10" fillId="6" borderId="1" xfId="2" applyFill="1" applyBorder="1"/>
    <xf numFmtId="0" fontId="10" fillId="7" borderId="1" xfId="2" applyFill="1" applyBorder="1"/>
    <xf numFmtId="165" fontId="10" fillId="0" borderId="1" xfId="2" applyNumberFormat="1" applyBorder="1"/>
    <xf numFmtId="165" fontId="10" fillId="0" borderId="0" xfId="2" applyNumberFormat="1"/>
    <xf numFmtId="165" fontId="10" fillId="7" borderId="1" xfId="2" applyNumberFormat="1" applyFill="1" applyBorder="1"/>
    <xf numFmtId="2" fontId="10" fillId="7" borderId="1" xfId="2" applyNumberFormat="1" applyFill="1" applyBorder="1"/>
    <xf numFmtId="0" fontId="11" fillId="0" borderId="1" xfId="2" applyFont="1" applyBorder="1"/>
    <xf numFmtId="165" fontId="11" fillId="0" borderId="1" xfId="2" applyNumberFormat="1" applyFont="1" applyBorder="1"/>
    <xf numFmtId="0" fontId="11" fillId="0" borderId="0" xfId="2" applyFont="1"/>
    <xf numFmtId="0" fontId="10" fillId="0" borderId="0" xfId="2" applyFont="1"/>
    <xf numFmtId="2" fontId="10" fillId="0" borderId="1" xfId="2" applyNumberFormat="1" applyBorder="1"/>
    <xf numFmtId="165" fontId="11" fillId="0" borderId="0" xfId="2" applyNumberFormat="1" applyFont="1"/>
    <xf numFmtId="165" fontId="12" fillId="0" borderId="0" xfId="2" applyNumberFormat="1" applyFont="1"/>
    <xf numFmtId="0" fontId="12" fillId="0" borderId="0" xfId="2" applyFont="1"/>
    <xf numFmtId="166" fontId="0" fillId="0" borderId="0" xfId="3" applyNumberFormat="1" applyFont="1"/>
    <xf numFmtId="167" fontId="10" fillId="0" borderId="0" xfId="2" applyNumberFormat="1"/>
    <xf numFmtId="166" fontId="10" fillId="0" borderId="0" xfId="2" applyNumberFormat="1"/>
    <xf numFmtId="168" fontId="0" fillId="0" borderId="1" xfId="4" applyNumberFormat="1" applyFont="1" applyBorder="1"/>
    <xf numFmtId="169" fontId="10" fillId="0" borderId="0" xfId="2" applyNumberFormat="1"/>
    <xf numFmtId="9" fontId="7" fillId="0" borderId="1" xfId="0" applyNumberFormat="1" applyFont="1" applyBorder="1" applyAlignment="1">
      <alignment horizontal="left" wrapText="1"/>
    </xf>
    <xf numFmtId="0" fontId="7" fillId="0" borderId="0" xfId="0" applyFont="1" applyFill="1"/>
    <xf numFmtId="165" fontId="0" fillId="0" borderId="0" xfId="0" applyNumberFormat="1"/>
    <xf numFmtId="165" fontId="0" fillId="0" borderId="1" xfId="0" applyNumberFormat="1" applyBorder="1"/>
    <xf numFmtId="0" fontId="15" fillId="0" borderId="10" xfId="0" applyFont="1" applyBorder="1" applyAlignment="1">
      <alignment horizontal="right" vertical="center"/>
    </xf>
    <xf numFmtId="0" fontId="16" fillId="0" borderId="1" xfId="0" applyFont="1" applyBorder="1"/>
    <xf numFmtId="0" fontId="14" fillId="0" borderId="11" xfId="0" applyFont="1" applyBorder="1" applyAlignment="1">
      <alignment vertical="center"/>
    </xf>
    <xf numFmtId="0" fontId="17" fillId="0" borderId="0" xfId="0" applyFont="1"/>
    <xf numFmtId="0" fontId="14" fillId="0" borderId="7" xfId="0" applyFont="1" applyBorder="1" applyAlignment="1">
      <alignment horizontal="right" vertical="center"/>
    </xf>
    <xf numFmtId="0" fontId="16" fillId="0" borderId="0" xfId="0" applyFont="1"/>
    <xf numFmtId="0" fontId="1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5" fillId="0" borderId="12" xfId="0" applyFont="1" applyBorder="1" applyAlignment="1">
      <alignment vertical="center"/>
    </xf>
    <xf numFmtId="0" fontId="0" fillId="0" borderId="0" xfId="0"/>
    <xf numFmtId="0" fontId="7" fillId="0" borderId="0" xfId="0" applyFont="1"/>
    <xf numFmtId="0" fontId="6" fillId="0" borderId="1" xfId="0" applyFont="1" applyBorder="1"/>
    <xf numFmtId="0" fontId="7" fillId="0" borderId="1" xfId="0" applyFont="1" applyBorder="1"/>
    <xf numFmtId="0" fontId="7" fillId="2" borderId="1" xfId="0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0" fontId="13" fillId="0" borderId="1" xfId="0" applyFont="1" applyBorder="1"/>
    <xf numFmtId="0" fontId="8" fillId="0" borderId="1" xfId="0" applyFont="1" applyBorder="1" applyAlignment="1">
      <alignment wrapText="1"/>
    </xf>
    <xf numFmtId="43" fontId="0" fillId="0" borderId="0" xfId="0" applyNumberFormat="1"/>
    <xf numFmtId="0" fontId="16" fillId="0" borderId="1" xfId="0" applyFont="1" applyBorder="1" applyAlignment="1">
      <alignment wrapText="1"/>
    </xf>
    <xf numFmtId="0" fontId="0" fillId="0" borderId="12" xfId="0" applyBorder="1"/>
    <xf numFmtId="9" fontId="0" fillId="0" borderId="0" xfId="1" applyFont="1"/>
    <xf numFmtId="9" fontId="0" fillId="0" borderId="0" xfId="0" applyNumberFormat="1"/>
    <xf numFmtId="0" fontId="18" fillId="9" borderId="10" xfId="0" applyFont="1" applyFill="1" applyBorder="1" applyAlignment="1">
      <alignment horizontal="right" vertical="center"/>
    </xf>
    <xf numFmtId="3" fontId="18" fillId="9" borderId="13" xfId="0" applyNumberFormat="1" applyFont="1" applyFill="1" applyBorder="1" applyAlignment="1">
      <alignment horizontal="right" vertical="center"/>
    </xf>
    <xf numFmtId="0" fontId="18" fillId="9" borderId="7" xfId="0" applyFont="1" applyFill="1" applyBorder="1" applyAlignment="1">
      <alignment horizontal="right" vertical="center"/>
    </xf>
    <xf numFmtId="0" fontId="15" fillId="0" borderId="11" xfId="0" applyFont="1" applyBorder="1" applyAlignment="1">
      <alignment vertical="center"/>
    </xf>
    <xf numFmtId="170" fontId="0" fillId="0" borderId="0" xfId="0" applyNumberFormat="1"/>
    <xf numFmtId="0" fontId="14" fillId="0" borderId="12" xfId="0" applyFont="1" applyBorder="1" applyAlignment="1">
      <alignment vertical="center"/>
    </xf>
    <xf numFmtId="0" fontId="16" fillId="0" borderId="9" xfId="0" applyFont="1" applyBorder="1" applyAlignment="1">
      <alignment wrapText="1"/>
    </xf>
    <xf numFmtId="0" fontId="19" fillId="0" borderId="0" xfId="0" applyFont="1"/>
    <xf numFmtId="0" fontId="19" fillId="0" borderId="1" xfId="0" applyFont="1" applyBorder="1"/>
    <xf numFmtId="9" fontId="16" fillId="0" borderId="1" xfId="0" applyNumberFormat="1" applyFont="1" applyBorder="1" applyAlignment="1">
      <alignment horizontal="left"/>
    </xf>
    <xf numFmtId="3" fontId="16" fillId="0" borderId="1" xfId="0" applyNumberFormat="1" applyFont="1" applyBorder="1" applyAlignment="1">
      <alignment wrapText="1"/>
    </xf>
    <xf numFmtId="9" fontId="16" fillId="0" borderId="1" xfId="0" applyNumberFormat="1" applyFont="1" applyBorder="1" applyAlignment="1">
      <alignment wrapText="1"/>
    </xf>
    <xf numFmtId="3" fontId="16" fillId="0" borderId="1" xfId="0" applyNumberFormat="1" applyFont="1" applyBorder="1"/>
    <xf numFmtId="0" fontId="16" fillId="2" borderId="1" xfId="0" applyFont="1" applyFill="1" applyBorder="1"/>
    <xf numFmtId="0" fontId="17" fillId="0" borderId="1" xfId="0" applyFont="1" applyBorder="1"/>
    <xf numFmtId="0" fontId="7" fillId="0" borderId="1" xfId="0" applyFont="1" applyBorder="1" applyAlignment="1">
      <alignment horizontal="center"/>
    </xf>
    <xf numFmtId="0" fontId="20" fillId="0" borderId="5" xfId="0" applyFont="1" applyBorder="1"/>
    <xf numFmtId="0" fontId="20" fillId="0" borderId="6" xfId="0" applyFont="1" applyBorder="1"/>
    <xf numFmtId="0" fontId="21" fillId="0" borderId="7" xfId="0" applyFont="1" applyBorder="1"/>
    <xf numFmtId="0" fontId="16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10" fontId="16" fillId="0" borderId="1" xfId="0" applyNumberFormat="1" applyFont="1" applyBorder="1" applyAlignment="1">
      <alignment horizontal="left" wrapText="1"/>
    </xf>
    <xf numFmtId="0" fontId="16" fillId="5" borderId="1" xfId="0" applyFont="1" applyFill="1" applyBorder="1"/>
    <xf numFmtId="0" fontId="16" fillId="0" borderId="1" xfId="0" applyFont="1" applyFill="1" applyBorder="1"/>
    <xf numFmtId="9" fontId="16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center" wrapText="1"/>
    </xf>
    <xf numFmtId="0" fontId="16" fillId="7" borderId="1" xfId="0" applyFont="1" applyFill="1" applyBorder="1"/>
    <xf numFmtId="0" fontId="17" fillId="0" borderId="1" xfId="0" applyFont="1" applyBorder="1" applyAlignment="1">
      <alignment wrapText="1"/>
    </xf>
    <xf numFmtId="0" fontId="19" fillId="0" borderId="0" xfId="0" applyFont="1" applyAlignment="1">
      <alignment horizontal="center"/>
    </xf>
    <xf numFmtId="0" fontId="19" fillId="0" borderId="8" xfId="0" applyFont="1" applyBorder="1"/>
    <xf numFmtId="0" fontId="16" fillId="0" borderId="8" xfId="0" applyFont="1" applyBorder="1"/>
    <xf numFmtId="9" fontId="16" fillId="0" borderId="1" xfId="0" applyNumberFormat="1" applyFont="1" applyBorder="1"/>
    <xf numFmtId="0" fontId="11" fillId="0" borderId="0" xfId="0" applyFont="1"/>
    <xf numFmtId="0" fontId="16" fillId="0" borderId="9" xfId="0" applyFont="1" applyBorder="1"/>
    <xf numFmtId="0" fontId="17" fillId="0" borderId="9" xfId="0" applyFont="1" applyBorder="1"/>
    <xf numFmtId="0" fontId="16" fillId="0" borderId="9" xfId="0" applyFont="1" applyBorder="1" applyAlignment="1">
      <alignment horizontal="center"/>
    </xf>
    <xf numFmtId="0" fontId="16" fillId="7" borderId="9" xfId="0" applyFont="1" applyFill="1" applyBorder="1"/>
    <xf numFmtId="0" fontId="16" fillId="0" borderId="0" xfId="0" applyFont="1" applyBorder="1"/>
    <xf numFmtId="0" fontId="16" fillId="8" borderId="1" xfId="0" applyFont="1" applyFill="1" applyBorder="1"/>
    <xf numFmtId="10" fontId="16" fillId="0" borderId="1" xfId="0" applyNumberFormat="1" applyFont="1" applyBorder="1" applyAlignment="1">
      <alignment wrapText="1"/>
    </xf>
    <xf numFmtId="2" fontId="22" fillId="0" borderId="0" xfId="0" applyNumberFormat="1" applyFont="1"/>
    <xf numFmtId="2" fontId="23" fillId="0" borderId="0" xfId="0" applyNumberFormat="1" applyFont="1"/>
    <xf numFmtId="0" fontId="17" fillId="0" borderId="0" xfId="0" applyFont="1" applyAlignment="1"/>
    <xf numFmtId="0" fontId="16" fillId="0" borderId="1" xfId="0" applyFont="1" applyBorder="1" applyAlignment="1">
      <alignment horizontal="center"/>
    </xf>
    <xf numFmtId="0" fontId="24" fillId="0" borderId="0" xfId="0" applyFont="1"/>
    <xf numFmtId="9" fontId="16" fillId="0" borderId="1" xfId="1" applyFont="1" applyBorder="1"/>
    <xf numFmtId="0" fontId="16" fillId="0" borderId="8" xfId="0" applyFont="1" applyBorder="1" applyAlignment="1">
      <alignment wrapText="1"/>
    </xf>
    <xf numFmtId="0" fontId="16" fillId="0" borderId="0" xfId="0" applyFont="1" applyBorder="1" applyAlignment="1">
      <alignment wrapText="1"/>
    </xf>
    <xf numFmtId="3" fontId="16" fillId="0" borderId="9" xfId="0" applyNumberFormat="1" applyFont="1" applyBorder="1"/>
    <xf numFmtId="0" fontId="16" fillId="2" borderId="9" xfId="0" applyFont="1" applyFill="1" applyBorder="1"/>
    <xf numFmtId="0" fontId="19" fillId="0" borderId="9" xfId="0" applyFont="1" applyBorder="1"/>
    <xf numFmtId="0" fontId="25" fillId="0" borderId="1" xfId="0" applyFont="1" applyBorder="1"/>
    <xf numFmtId="0" fontId="16" fillId="0" borderId="1" xfId="0" applyNumberFormat="1" applyFont="1" applyBorder="1" applyAlignment="1">
      <alignment wrapText="1"/>
    </xf>
    <xf numFmtId="0" fontId="25" fillId="0" borderId="0" xfId="0" applyFont="1"/>
    <xf numFmtId="0" fontId="25" fillId="0" borderId="0" xfId="0" applyFont="1" applyBorder="1"/>
    <xf numFmtId="43" fontId="25" fillId="0" borderId="1" xfId="5" applyFont="1" applyBorder="1"/>
    <xf numFmtId="43" fontId="25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6">
    <cellStyle name="Comma" xfId="5" builtinId="3"/>
    <cellStyle name="Comma 2" xfId="4" xr:uid="{00000000-0005-0000-0000-000001000000}"/>
    <cellStyle name="Normal" xfId="0" builtinId="0"/>
    <cellStyle name="Normal 2" xfId="2" xr:uid="{00000000-0005-0000-0000-000003000000}"/>
    <cellStyle name="Percent" xfId="1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'Tbles for plan'!$B$24:$B$29</c:f>
              <c:strCache>
                <c:ptCount val="6"/>
                <c:pt idx="0">
                  <c:v>Elem</c:v>
                </c:pt>
                <c:pt idx="1">
                  <c:v>Prim</c:v>
                </c:pt>
                <c:pt idx="2">
                  <c:v>Sec</c:v>
                </c:pt>
                <c:pt idx="3">
                  <c:v>Voc</c:v>
                </c:pt>
                <c:pt idx="4">
                  <c:v>Tr Colls</c:v>
                </c:pt>
                <c:pt idx="5">
                  <c:v>Tech</c:v>
                </c:pt>
              </c:strCache>
            </c:strRef>
          </c:cat>
          <c:val>
            <c:numRef>
              <c:f>'Tbles for plan'!$C$24:$C$29</c:f>
              <c:numCache>
                <c:formatCode>0.0</c:formatCode>
                <c:ptCount val="6"/>
                <c:pt idx="0">
                  <c:v>596.53507428209059</c:v>
                </c:pt>
                <c:pt idx="1">
                  <c:v>1465.5614787918028</c:v>
                </c:pt>
                <c:pt idx="2">
                  <c:v>375.43249942472318</c:v>
                </c:pt>
                <c:pt idx="3">
                  <c:v>86.411665081191728</c:v>
                </c:pt>
                <c:pt idx="4">
                  <c:v>33.386325145005891</c:v>
                </c:pt>
                <c:pt idx="5">
                  <c:v>38.541566527690634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A-4023-8605-57FC6A3A7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133791"/>
        <c:axId val="461235279"/>
      </c:barChart>
      <c:catAx>
        <c:axId val="56913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35279"/>
        <c:crosses val="autoZero"/>
        <c:auto val="1"/>
        <c:lblAlgn val="ctr"/>
        <c:lblOffset val="100"/>
        <c:noMultiLvlLbl val="0"/>
      </c:catAx>
      <c:valAx>
        <c:axId val="46123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13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'[3]Tbles for plan'!$B$24:$B$29</c:f>
              <c:strCache>
                <c:ptCount val="6"/>
                <c:pt idx="0">
                  <c:v>Elem</c:v>
                </c:pt>
                <c:pt idx="1">
                  <c:v>Prim</c:v>
                </c:pt>
                <c:pt idx="2">
                  <c:v>Sec</c:v>
                </c:pt>
                <c:pt idx="3">
                  <c:v>Voc</c:v>
                </c:pt>
                <c:pt idx="4">
                  <c:v>Tr Colls</c:v>
                </c:pt>
                <c:pt idx="5">
                  <c:v>Tech</c:v>
                </c:pt>
              </c:strCache>
            </c:strRef>
          </c:cat>
          <c:val>
            <c:numRef>
              <c:f>'[3]Tbles for plan'!$C$24:$C$29</c:f>
              <c:numCache>
                <c:formatCode>General</c:formatCode>
                <c:ptCount val="6"/>
                <c:pt idx="0">
                  <c:v>596.53507428209059</c:v>
                </c:pt>
                <c:pt idx="1">
                  <c:v>1465.5614787918028</c:v>
                </c:pt>
                <c:pt idx="2">
                  <c:v>375.43249942472318</c:v>
                </c:pt>
                <c:pt idx="3">
                  <c:v>86.411665081191728</c:v>
                </c:pt>
                <c:pt idx="4">
                  <c:v>33.386325145005891</c:v>
                </c:pt>
                <c:pt idx="5">
                  <c:v>38.541566527690634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F-4588-AA21-3D84C2A8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133791"/>
        <c:axId val="461235279"/>
      </c:barChart>
      <c:catAx>
        <c:axId val="569133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35279"/>
        <c:crosses val="autoZero"/>
        <c:auto val="1"/>
        <c:lblAlgn val="ctr"/>
        <c:lblOffset val="100"/>
        <c:noMultiLvlLbl val="0"/>
      </c:catAx>
      <c:valAx>
        <c:axId val="461235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133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838200</xdr:colOff>
      <xdr:row>6</xdr:row>
      <xdr:rowOff>130175</xdr:rowOff>
    </xdr:from>
    <xdr:to>
      <xdr:col>2</xdr:col>
      <xdr:colOff>2464435</xdr:colOff>
      <xdr:row>13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23FB6F-245E-44BF-B2D9-7C897A07574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4525" y="1216025"/>
          <a:ext cx="1629410" cy="1229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335280</xdr:colOff>
      <xdr:row>13</xdr:row>
      <xdr:rowOff>114300</xdr:rowOff>
    </xdr:from>
    <xdr:to>
      <xdr:col>15</xdr:col>
      <xdr:colOff>30480</xdr:colOff>
      <xdr:row>28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BB7F42-E020-4136-BA6B-418B27DC03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335280</xdr:colOff>
      <xdr:row>13</xdr:row>
      <xdr:rowOff>114300</xdr:rowOff>
    </xdr:from>
    <xdr:to>
      <xdr:col>15</xdr:col>
      <xdr:colOff>30480</xdr:colOff>
      <xdr:row>28</xdr:row>
      <xdr:rowOff>45720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E31EB89-99EF-4210-B918-CEAE4C36E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off\Documents\2018\PNG%20UNICEF\New%20versions\Budget%20by%20strategy%20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ork%20Folder\MTEF\Projections%20and%20costing%20model_playthin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eoff\Documents\2018\PNG%20UNICEF\After%20reappraisal\PNG%20NEP%20Action%20Plan%202019-2020%20DRAFT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 tables"/>
      <sheetName val="Budget by strategy"/>
      <sheetName val="TFF"/>
      <sheetName val="Prov"/>
      <sheetName val="Budget by strategy rec"/>
      <sheetName val="Other depts"/>
      <sheetName val="Projects"/>
      <sheetName val="2018 to 2021 budget proj extra"/>
      <sheetName val="Budget by strategy extra"/>
      <sheetName val="Budget by strategy extra final"/>
      <sheetName val="DFAT"/>
      <sheetName val="Budget by strategy rec extra"/>
      <sheetName val="New Projects"/>
      <sheetName val="Rec increases by start"/>
      <sheetName val="Budg calcs GT"/>
      <sheetName val="St summ by bud act"/>
      <sheetName val="2018 to 2021 budget proj GT"/>
      <sheetName val="UNICEF by strategy"/>
      <sheetName val="UNICEF"/>
      <sheetName val="2018 to 2021 rec budget proj GT"/>
      <sheetName val="By category"/>
      <sheetName val="Other"/>
      <sheetName val="Sector and category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8">
          <cell r="T68">
            <v>3.5000000000000003E-2</v>
          </cell>
        </row>
        <row r="69">
          <cell r="T69">
            <v>30.434303448275863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N6">
            <v>872932</v>
          </cell>
          <cell r="O6">
            <v>1008418</v>
          </cell>
          <cell r="P6">
            <v>181740</v>
          </cell>
          <cell r="Q6">
            <v>39355</v>
          </cell>
        </row>
        <row r="8">
          <cell r="N8">
            <v>0.41519849508548379</v>
          </cell>
          <cell r="O8">
            <v>0.4796406089101023</v>
          </cell>
          <cell r="P8">
            <v>8.6442213708325305E-2</v>
          </cell>
          <cell r="Q8">
            <v>1.8718682296088602E-2</v>
          </cell>
        </row>
        <row r="12">
          <cell r="O12">
            <v>0.8472975856987055</v>
          </cell>
          <cell r="P12">
            <v>0.15270241430129444</v>
          </cell>
        </row>
        <row r="17">
          <cell r="O17">
            <v>0.8843422767516067</v>
          </cell>
          <cell r="P17">
            <v>0.11565772324839332</v>
          </cell>
        </row>
        <row r="20">
          <cell r="O20">
            <v>0.82199959293516367</v>
          </cell>
          <cell r="P20">
            <v>0.17800040706483633</v>
          </cell>
        </row>
        <row r="26">
          <cell r="N26">
            <v>0.2</v>
          </cell>
          <cell r="O26">
            <v>0.4</v>
          </cell>
          <cell r="P26">
            <v>0.26666666666666666</v>
          </cell>
          <cell r="Q26">
            <v>0.13333333333333333</v>
          </cell>
        </row>
      </sheetData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ata entry menu"/>
      <sheetName val="Assumptions"/>
      <sheetName val="Inf ass"/>
      <sheetName val="Tech Ass"/>
      <sheetName val="Finance ass"/>
      <sheetName val="Revenue data entry"/>
      <sheetName val="Finance Info"/>
      <sheetName val="Tech Coll"/>
      <sheetName val="MTEF"/>
      <sheetName val="MTEF for ESSP"/>
      <sheetName val="MTEF with cons cuts"/>
      <sheetName val="By sector"/>
      <sheetName val="By category"/>
      <sheetName val="Adapt by"/>
      <sheetName val="New figures"/>
      <sheetName val="Cohort prog"/>
      <sheetName val="Enrolments"/>
      <sheetName val="Staffing"/>
      <sheetName val="UBE rec and dev costs"/>
      <sheetName val="Dept costs"/>
      <sheetName val="UBE tr supp demand"/>
      <sheetName val="Tr education"/>
      <sheetName val="Post prim tr educ"/>
      <sheetName val="Capacity building"/>
      <sheetName val="Tr education tables"/>
      <sheetName val="Tech education tables"/>
      <sheetName val="Enr staff chart menu"/>
      <sheetName val="MTEF charts"/>
      <sheetName val="MTEF menu"/>
      <sheetName val="Finance charts"/>
      <sheetName val="Province"/>
      <sheetName val="Age data"/>
      <sheetName val="Data Entry"/>
      <sheetName val="NEP comp charts"/>
      <sheetName val="Charts sheet"/>
      <sheetName val="Subs calcs"/>
      <sheetName val="Costs"/>
      <sheetName val="UBE funding"/>
      <sheetName val="Fees"/>
      <sheetName val="Library"/>
      <sheetName val="Costs by source"/>
      <sheetName val="Population"/>
      <sheetName val="Tables for plan"/>
      <sheetName val="Spec Ed"/>
      <sheetName val="For PFD"/>
      <sheetName val="For SDP"/>
      <sheetName val="Scenario"/>
      <sheetName val="Notes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7">
          <cell r="A7" t="str">
            <v>1 14 sept 2012</v>
          </cell>
          <cell r="B7">
            <v>2001</v>
          </cell>
          <cell r="C7">
            <v>2002</v>
          </cell>
          <cell r="D7">
            <v>2003</v>
          </cell>
          <cell r="E7">
            <v>2004</v>
          </cell>
          <cell r="F7">
            <v>2005</v>
          </cell>
          <cell r="G7">
            <v>2006</v>
          </cell>
          <cell r="H7">
            <v>2007</v>
          </cell>
          <cell r="I7">
            <v>2008</v>
          </cell>
          <cell r="J7">
            <v>2009</v>
          </cell>
          <cell r="K7">
            <v>2010</v>
          </cell>
          <cell r="L7">
            <v>2011</v>
          </cell>
          <cell r="M7">
            <v>2012</v>
          </cell>
          <cell r="N7">
            <v>2013</v>
          </cell>
          <cell r="O7">
            <v>2014</v>
          </cell>
          <cell r="P7">
            <v>2015</v>
          </cell>
          <cell r="Q7">
            <v>2016</v>
          </cell>
          <cell r="R7">
            <v>2017</v>
          </cell>
          <cell r="S7">
            <v>2018</v>
          </cell>
          <cell r="T7">
            <v>2019</v>
          </cell>
          <cell r="U7">
            <v>2020</v>
          </cell>
        </row>
        <row r="8">
          <cell r="A8" t="str">
            <v>Prep</v>
          </cell>
          <cell r="B8">
            <v>73364</v>
          </cell>
          <cell r="C8">
            <v>95121</v>
          </cell>
          <cell r="D8">
            <v>101719</v>
          </cell>
          <cell r="E8">
            <v>107993</v>
          </cell>
          <cell r="F8">
            <v>114441.82127563721</v>
          </cell>
          <cell r="G8">
            <v>132154</v>
          </cell>
          <cell r="H8">
            <v>139240</v>
          </cell>
          <cell r="I8">
            <v>176951</v>
          </cell>
          <cell r="J8">
            <v>205509</v>
          </cell>
          <cell r="K8">
            <v>239338</v>
          </cell>
          <cell r="L8">
            <v>246890.14072944137</v>
          </cell>
          <cell r="M8">
            <v>317292</v>
          </cell>
        </row>
        <row r="9">
          <cell r="A9" t="str">
            <v>E1</v>
          </cell>
          <cell r="B9">
            <v>60105</v>
          </cell>
          <cell r="C9">
            <v>79603</v>
          </cell>
          <cell r="D9">
            <v>95279</v>
          </cell>
          <cell r="E9">
            <v>101864</v>
          </cell>
          <cell r="F9">
            <v>101011.31165388311</v>
          </cell>
          <cell r="G9">
            <v>106589</v>
          </cell>
          <cell r="H9">
            <v>108021</v>
          </cell>
          <cell r="I9">
            <v>134205</v>
          </cell>
          <cell r="J9">
            <v>163299.4</v>
          </cell>
          <cell r="K9">
            <v>217924.66596785685</v>
          </cell>
          <cell r="L9">
            <v>231647.6359673774</v>
          </cell>
          <cell r="M9">
            <v>243072</v>
          </cell>
        </row>
        <row r="10">
          <cell r="A10" t="str">
            <v>E2</v>
          </cell>
          <cell r="B10">
            <v>46717</v>
          </cell>
          <cell r="C10">
            <v>65419</v>
          </cell>
          <cell r="D10">
            <v>79725.33</v>
          </cell>
          <cell r="E10">
            <v>94173</v>
          </cell>
          <cell r="F10">
            <v>98256.925632719067</v>
          </cell>
          <cell r="G10">
            <v>92484</v>
          </cell>
          <cell r="H10">
            <v>94598</v>
          </cell>
          <cell r="I10">
            <v>111120</v>
          </cell>
          <cell r="J10">
            <v>139711.20000000001</v>
          </cell>
          <cell r="K10">
            <v>195012.88699694033</v>
          </cell>
          <cell r="L10">
            <v>202922.98202679254</v>
          </cell>
          <cell r="M10">
            <v>210035</v>
          </cell>
        </row>
        <row r="11">
          <cell r="A11" t="str">
            <v>Total</v>
          </cell>
          <cell r="B11">
            <v>180186</v>
          </cell>
          <cell r="C11">
            <v>240143</v>
          </cell>
          <cell r="D11">
            <v>276723.33</v>
          </cell>
          <cell r="E11">
            <v>304030</v>
          </cell>
          <cell r="F11">
            <v>313710.0585622394</v>
          </cell>
          <cell r="G11">
            <v>331227</v>
          </cell>
          <cell r="H11">
            <v>341859</v>
          </cell>
          <cell r="I11">
            <v>422276</v>
          </cell>
          <cell r="J11">
            <v>508519.60000000003</v>
          </cell>
          <cell r="K11">
            <v>652275.55296479724</v>
          </cell>
          <cell r="L11">
            <v>681460.75872361124</v>
          </cell>
          <cell r="M11">
            <v>770399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FA 1"/>
      <sheetName val="FA 2"/>
      <sheetName val="FA 3"/>
      <sheetName val="FA 4"/>
      <sheetName val="FA 5"/>
      <sheetName val="FA 6"/>
      <sheetName val="Summary"/>
      <sheetName val="DFAT"/>
      <sheetName val="Tbles for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>
            <v>584922.64021854603</v>
          </cell>
          <cell r="C6">
            <v>2735.2</v>
          </cell>
          <cell r="D6">
            <v>0</v>
          </cell>
          <cell r="E6">
            <v>395065.8</v>
          </cell>
          <cell r="G6">
            <v>180100</v>
          </cell>
          <cell r="H6">
            <v>4515.0402185460616</v>
          </cell>
          <cell r="I6">
            <v>2506.6</v>
          </cell>
          <cell r="J6">
            <v>578145.19999999995</v>
          </cell>
          <cell r="K6">
            <v>1447.1</v>
          </cell>
          <cell r="L6">
            <v>0</v>
          </cell>
          <cell r="M6">
            <v>377565.8</v>
          </cell>
          <cell r="O6">
            <v>192100</v>
          </cell>
          <cell r="P6">
            <v>4525.7</v>
          </cell>
          <cell r="Q6">
            <v>2506.6</v>
          </cell>
        </row>
        <row r="7">
          <cell r="B7">
            <v>74644.95</v>
          </cell>
          <cell r="C7">
            <v>22477.45</v>
          </cell>
          <cell r="D7">
            <v>15000</v>
          </cell>
          <cell r="E7">
            <v>8000</v>
          </cell>
          <cell r="G7">
            <v>0</v>
          </cell>
          <cell r="H7">
            <v>25860</v>
          </cell>
          <cell r="I7">
            <v>3307.5</v>
          </cell>
          <cell r="J7">
            <v>74191.05</v>
          </cell>
          <cell r="K7">
            <v>23293.55</v>
          </cell>
          <cell r="L7">
            <v>15000</v>
          </cell>
          <cell r="M7">
            <v>8000</v>
          </cell>
          <cell r="O7">
            <v>0</v>
          </cell>
          <cell r="P7">
            <v>24590</v>
          </cell>
          <cell r="Q7">
            <v>3307.5</v>
          </cell>
        </row>
        <row r="8">
          <cell r="B8">
            <v>308481.34021854604</v>
          </cell>
          <cell r="C8">
            <v>41286.300000000003</v>
          </cell>
          <cell r="D8">
            <v>0</v>
          </cell>
          <cell r="E8">
            <v>53151.9</v>
          </cell>
          <cell r="G8">
            <v>174672</v>
          </cell>
          <cell r="H8">
            <v>44581.706885212727</v>
          </cell>
          <cell r="I8">
            <v>23433.699999999997</v>
          </cell>
          <cell r="J8">
            <v>321259.40000000002</v>
          </cell>
          <cell r="K8">
            <v>42690.2</v>
          </cell>
          <cell r="L8">
            <v>0</v>
          </cell>
          <cell r="M8">
            <v>53151.9</v>
          </cell>
          <cell r="O8">
            <v>186482</v>
          </cell>
          <cell r="P8">
            <v>44144.666666666664</v>
          </cell>
          <cell r="Q8">
            <v>23433.4</v>
          </cell>
        </row>
        <row r="9">
          <cell r="B9">
            <v>95831.358043709202</v>
          </cell>
          <cell r="C9">
            <v>36083.75</v>
          </cell>
          <cell r="D9">
            <v>23000</v>
          </cell>
          <cell r="E9">
            <v>2000</v>
          </cell>
          <cell r="G9">
            <v>0</v>
          </cell>
          <cell r="H9">
            <v>30983.008043709211</v>
          </cell>
          <cell r="I9">
            <v>3460.6</v>
          </cell>
          <cell r="J9">
            <v>108647.73999999999</v>
          </cell>
          <cell r="K9">
            <v>37877.5</v>
          </cell>
          <cell r="L9">
            <v>22000</v>
          </cell>
          <cell r="M9">
            <v>2000</v>
          </cell>
          <cell r="O9">
            <v>0</v>
          </cell>
          <cell r="P9">
            <v>42985.14</v>
          </cell>
          <cell r="Q9">
            <v>3460.6</v>
          </cell>
        </row>
        <row r="10">
          <cell r="B10">
            <v>289792.5</v>
          </cell>
          <cell r="C10">
            <v>10279.5</v>
          </cell>
          <cell r="D10">
            <v>0</v>
          </cell>
          <cell r="E10">
            <v>38200</v>
          </cell>
          <cell r="G10">
            <v>228200</v>
          </cell>
          <cell r="H10">
            <v>7350</v>
          </cell>
          <cell r="I10">
            <v>5763</v>
          </cell>
          <cell r="J10">
            <v>205072.20000000004</v>
          </cell>
          <cell r="K10">
            <v>10709.2</v>
          </cell>
          <cell r="L10">
            <v>0</v>
          </cell>
          <cell r="M10">
            <v>33200</v>
          </cell>
          <cell r="O10">
            <v>243700</v>
          </cell>
          <cell r="P10">
            <v>7000</v>
          </cell>
          <cell r="Q10">
            <v>5763</v>
          </cell>
        </row>
        <row r="11">
          <cell r="B11">
            <v>1283867.55</v>
          </cell>
          <cell r="C11">
            <v>75895.05</v>
          </cell>
          <cell r="D11">
            <v>0</v>
          </cell>
          <cell r="E11">
            <v>1197754</v>
          </cell>
          <cell r="G11">
            <v>0</v>
          </cell>
          <cell r="H11">
            <v>7100</v>
          </cell>
          <cell r="I11">
            <v>3118.5</v>
          </cell>
          <cell r="J11">
            <v>1364187.9180000003</v>
          </cell>
          <cell r="K11">
            <v>79518.278000000006</v>
          </cell>
          <cell r="L11">
            <v>0</v>
          </cell>
          <cell r="M11">
            <v>1275282.2400000002</v>
          </cell>
          <cell r="O11">
            <v>0</v>
          </cell>
          <cell r="P11">
            <v>6000</v>
          </cell>
          <cell r="Q11">
            <v>3387.4</v>
          </cell>
        </row>
        <row r="12">
          <cell r="B12">
            <v>2637540.3384808013</v>
          </cell>
          <cell r="C12">
            <v>188757.25</v>
          </cell>
          <cell r="D12">
            <v>38000</v>
          </cell>
          <cell r="E12">
            <v>1694171.7</v>
          </cell>
          <cell r="F12">
            <v>326.39999999999998</v>
          </cell>
          <cell r="G12">
            <v>582972</v>
          </cell>
          <cell r="H12">
            <v>120389.75514746801</v>
          </cell>
          <cell r="I12">
            <v>41589.899999999994</v>
          </cell>
          <cell r="J12">
            <v>2651503.5080000004</v>
          </cell>
          <cell r="K12">
            <v>195535.82799999998</v>
          </cell>
          <cell r="L12">
            <v>37000</v>
          </cell>
          <cell r="M12">
            <v>1749199.9400000002</v>
          </cell>
          <cell r="N12">
            <v>348.4</v>
          </cell>
          <cell r="O12">
            <v>622282</v>
          </cell>
          <cell r="P12">
            <v>129245.50666666667</v>
          </cell>
          <cell r="Q12">
            <v>41858.5</v>
          </cell>
        </row>
      </sheetData>
      <sheetData sheetId="8"/>
      <sheetData sheetId="9">
        <row r="24">
          <cell r="B24" t="str">
            <v>Elem</v>
          </cell>
          <cell r="C24">
            <v>596.53507428209059</v>
          </cell>
        </row>
        <row r="25">
          <cell r="B25" t="str">
            <v>Prim</v>
          </cell>
          <cell r="C25">
            <v>1465.5614787918028</v>
          </cell>
        </row>
        <row r="26">
          <cell r="B26" t="str">
            <v>Sec</v>
          </cell>
          <cell r="C26">
            <v>375.43249942472318</v>
          </cell>
        </row>
        <row r="27">
          <cell r="B27" t="str">
            <v>Voc</v>
          </cell>
          <cell r="C27">
            <v>86.411665081191728</v>
          </cell>
        </row>
        <row r="28">
          <cell r="B28" t="str">
            <v>Tr Colls</v>
          </cell>
          <cell r="C28">
            <v>33.386325145005891</v>
          </cell>
        </row>
        <row r="29">
          <cell r="B29" t="str">
            <v>Tech</v>
          </cell>
          <cell r="C29">
            <v>38.541566527690634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zoomScale="85" zoomScaleNormal="85" workbookViewId="0">
      <selection activeCell="C17" sqref="C17"/>
    </sheetView>
  </sheetViews>
  <sheetFormatPr defaultRowHeight="15" x14ac:dyDescent="0.25"/>
  <cols>
    <col min="1" max="1" width="3.5703125" customWidth="1"/>
    <col min="2" max="2" width="11.85546875" customWidth="1"/>
    <col min="3" max="3" width="52.42578125" customWidth="1"/>
  </cols>
  <sheetData>
    <row r="1" spans="1:8" ht="18.75" x14ac:dyDescent="0.3">
      <c r="A1" s="118" t="s">
        <v>0</v>
      </c>
      <c r="B1" s="118"/>
      <c r="C1" s="118"/>
      <c r="D1" s="118"/>
      <c r="E1" s="118"/>
      <c r="F1" s="3"/>
      <c r="G1" s="3"/>
      <c r="H1" s="3"/>
    </row>
    <row r="2" spans="1:8" ht="18.75" x14ac:dyDescent="0.3">
      <c r="A2" s="119" t="s">
        <v>1</v>
      </c>
      <c r="B2" s="119"/>
      <c r="C2" s="119"/>
      <c r="D2" s="119"/>
      <c r="E2" s="119"/>
      <c r="F2" s="2"/>
      <c r="G2" s="2"/>
      <c r="H2" s="2"/>
    </row>
    <row r="4" spans="1:8" ht="21" x14ac:dyDescent="0.35">
      <c r="A4" s="120" t="s">
        <v>2</v>
      </c>
      <c r="B4" s="120"/>
      <c r="C4" s="120"/>
      <c r="D4" s="120"/>
      <c r="E4" s="120"/>
      <c r="F4" s="2"/>
      <c r="G4" s="2"/>
      <c r="H4" s="2"/>
    </row>
    <row r="5" spans="1:8" ht="18.75" x14ac:dyDescent="0.3">
      <c r="A5" s="118" t="s">
        <v>3</v>
      </c>
      <c r="B5" s="118"/>
      <c r="C5" s="118"/>
      <c r="D5" s="118"/>
      <c r="E5" s="118"/>
      <c r="F5" s="3"/>
      <c r="G5" s="3"/>
      <c r="H5" s="3"/>
    </row>
    <row r="6" spans="1:8" ht="15.75" x14ac:dyDescent="0.25">
      <c r="A6" s="121" t="s">
        <v>4</v>
      </c>
      <c r="B6" s="121"/>
      <c r="C6" s="121"/>
      <c r="D6" s="121"/>
      <c r="E6" s="121"/>
      <c r="F6" s="2"/>
      <c r="G6" s="2"/>
      <c r="H6" s="2"/>
    </row>
    <row r="15" spans="1:8" x14ac:dyDescent="0.25">
      <c r="A15" s="117" t="s">
        <v>5</v>
      </c>
      <c r="B15" s="117"/>
      <c r="C15" s="117"/>
      <c r="D15" s="117"/>
      <c r="E15" s="117"/>
    </row>
    <row r="16" spans="1:8" x14ac:dyDescent="0.25">
      <c r="A16" t="s">
        <v>25</v>
      </c>
      <c r="B16" t="s">
        <v>15</v>
      </c>
      <c r="C16" t="s">
        <v>22</v>
      </c>
    </row>
    <row r="17" spans="1:5" x14ac:dyDescent="0.25">
      <c r="B17" t="s">
        <v>21</v>
      </c>
    </row>
    <row r="18" spans="1:5" x14ac:dyDescent="0.25">
      <c r="B18" t="s">
        <v>24</v>
      </c>
      <c r="C18" t="s">
        <v>29</v>
      </c>
    </row>
    <row r="19" spans="1:5" x14ac:dyDescent="0.25">
      <c r="A19" t="s">
        <v>28</v>
      </c>
      <c r="B19" t="s">
        <v>7</v>
      </c>
      <c r="C19" t="s">
        <v>17</v>
      </c>
    </row>
    <row r="20" spans="1:5" x14ac:dyDescent="0.25">
      <c r="B20" t="s">
        <v>6</v>
      </c>
      <c r="C20" t="s">
        <v>16</v>
      </c>
    </row>
    <row r="21" spans="1:5" x14ac:dyDescent="0.25">
      <c r="B21" t="s">
        <v>8</v>
      </c>
      <c r="C21" t="s">
        <v>30</v>
      </c>
    </row>
    <row r="22" spans="1:5" x14ac:dyDescent="0.25">
      <c r="A22" t="s">
        <v>27</v>
      </c>
      <c r="B22" t="s">
        <v>9</v>
      </c>
      <c r="C22" t="s">
        <v>18</v>
      </c>
    </row>
    <row r="23" spans="1:5" x14ac:dyDescent="0.25">
      <c r="B23" t="s">
        <v>10</v>
      </c>
      <c r="C23" t="s">
        <v>19</v>
      </c>
    </row>
    <row r="24" spans="1:5" x14ac:dyDescent="0.25">
      <c r="B24" t="s">
        <v>11</v>
      </c>
      <c r="C24" t="s">
        <v>31</v>
      </c>
    </row>
    <row r="25" spans="1:5" x14ac:dyDescent="0.25">
      <c r="A25" t="s">
        <v>26</v>
      </c>
      <c r="B25" t="s">
        <v>12</v>
      </c>
      <c r="C25" t="s">
        <v>20</v>
      </c>
    </row>
    <row r="26" spans="1:5" x14ac:dyDescent="0.25">
      <c r="B26" t="s">
        <v>13</v>
      </c>
      <c r="C26" t="s">
        <v>23</v>
      </c>
    </row>
    <row r="27" spans="1:5" x14ac:dyDescent="0.25">
      <c r="B27" t="s">
        <v>14</v>
      </c>
      <c r="C27" t="s">
        <v>32</v>
      </c>
    </row>
    <row r="29" spans="1:5" x14ac:dyDescent="0.25">
      <c r="A29" s="117" t="s">
        <v>33</v>
      </c>
      <c r="B29" s="117"/>
      <c r="C29" s="117"/>
      <c r="D29" s="117"/>
      <c r="E29" s="117"/>
    </row>
    <row r="30" spans="1:5" x14ac:dyDescent="0.25">
      <c r="A30">
        <v>1</v>
      </c>
      <c r="B30" t="s">
        <v>35</v>
      </c>
    </row>
    <row r="31" spans="1:5" x14ac:dyDescent="0.25">
      <c r="A31">
        <v>2</v>
      </c>
      <c r="B31" t="s">
        <v>36</v>
      </c>
    </row>
    <row r="32" spans="1:5" x14ac:dyDescent="0.25">
      <c r="A32">
        <v>3</v>
      </c>
      <c r="B32" t="s">
        <v>34</v>
      </c>
    </row>
    <row r="33" spans="1:3" x14ac:dyDescent="0.25">
      <c r="A33">
        <v>4</v>
      </c>
      <c r="B33" t="s">
        <v>37</v>
      </c>
    </row>
    <row r="34" spans="1:3" x14ac:dyDescent="0.25">
      <c r="A34">
        <v>5</v>
      </c>
      <c r="B34" t="s">
        <v>38</v>
      </c>
    </row>
    <row r="35" spans="1:3" x14ac:dyDescent="0.25">
      <c r="A35">
        <v>6</v>
      </c>
      <c r="B35" t="s">
        <v>39</v>
      </c>
    </row>
    <row r="37" spans="1:3" x14ac:dyDescent="0.25">
      <c r="A37" s="1" t="s">
        <v>43</v>
      </c>
    </row>
    <row r="38" spans="1:3" x14ac:dyDescent="0.25">
      <c r="B38" t="s">
        <v>45</v>
      </c>
      <c r="C38" t="s">
        <v>111</v>
      </c>
    </row>
    <row r="39" spans="1:3" x14ac:dyDescent="0.25">
      <c r="B39" t="s">
        <v>97</v>
      </c>
      <c r="C39" t="s">
        <v>112</v>
      </c>
    </row>
    <row r="40" spans="1:3" x14ac:dyDescent="0.25">
      <c r="B40" t="s">
        <v>113</v>
      </c>
      <c r="C40" t="s">
        <v>114</v>
      </c>
    </row>
    <row r="41" spans="1:3" x14ac:dyDescent="0.25">
      <c r="B41" t="s">
        <v>115</v>
      </c>
      <c r="C41" t="s">
        <v>116</v>
      </c>
    </row>
    <row r="42" spans="1:3" x14ac:dyDescent="0.25">
      <c r="B42" t="s">
        <v>117</v>
      </c>
      <c r="C42" t="s">
        <v>118</v>
      </c>
    </row>
    <row r="43" spans="1:3" x14ac:dyDescent="0.25">
      <c r="B43" t="s">
        <v>119</v>
      </c>
      <c r="C43" t="s">
        <v>120</v>
      </c>
    </row>
    <row r="44" spans="1:3" x14ac:dyDescent="0.25">
      <c r="B44" t="s">
        <v>102</v>
      </c>
      <c r="C44" t="s">
        <v>121</v>
      </c>
    </row>
    <row r="45" spans="1:3" x14ac:dyDescent="0.25">
      <c r="B45" t="s">
        <v>144</v>
      </c>
      <c r="C45" t="s">
        <v>145</v>
      </c>
    </row>
    <row r="46" spans="1:3" x14ac:dyDescent="0.25">
      <c r="B46" t="s">
        <v>66</v>
      </c>
      <c r="C46" t="s">
        <v>146</v>
      </c>
    </row>
    <row r="47" spans="1:3" x14ac:dyDescent="0.25">
      <c r="B47" t="s">
        <v>148</v>
      </c>
      <c r="C47" t="s">
        <v>149</v>
      </c>
    </row>
    <row r="48" spans="1:3" x14ac:dyDescent="0.25">
      <c r="B48" t="s">
        <v>425</v>
      </c>
      <c r="C48" t="s">
        <v>500</v>
      </c>
    </row>
    <row r="49" spans="2:3" x14ac:dyDescent="0.25">
      <c r="B49" t="s">
        <v>482</v>
      </c>
      <c r="C49" t="s">
        <v>501</v>
      </c>
    </row>
    <row r="50" spans="2:3" x14ac:dyDescent="0.25">
      <c r="B50" t="s">
        <v>468</v>
      </c>
      <c r="C50" t="s">
        <v>502</v>
      </c>
    </row>
    <row r="51" spans="2:3" x14ac:dyDescent="0.25">
      <c r="B51" t="s">
        <v>489</v>
      </c>
      <c r="C51" t="s">
        <v>503</v>
      </c>
    </row>
    <row r="52" spans="2:3" x14ac:dyDescent="0.25">
      <c r="B52" t="s">
        <v>475</v>
      </c>
      <c r="C52" t="s">
        <v>504</v>
      </c>
    </row>
    <row r="53" spans="2:3" x14ac:dyDescent="0.25">
      <c r="B53" t="s">
        <v>485</v>
      </c>
      <c r="C53" t="s">
        <v>506</v>
      </c>
    </row>
    <row r="54" spans="2:3" x14ac:dyDescent="0.25">
      <c r="B54" t="s">
        <v>499</v>
      </c>
      <c r="C54" t="s">
        <v>507</v>
      </c>
    </row>
  </sheetData>
  <mergeCells count="7">
    <mergeCell ref="A15:E15"/>
    <mergeCell ref="A29:E29"/>
    <mergeCell ref="A1:E1"/>
    <mergeCell ref="A2:E2"/>
    <mergeCell ref="A4:E4"/>
    <mergeCell ref="A5:E5"/>
    <mergeCell ref="A6:E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R104"/>
  <sheetViews>
    <sheetView workbookViewId="0">
      <selection activeCell="A3" sqref="A3"/>
    </sheetView>
  </sheetViews>
  <sheetFormatPr defaultColWidth="8.85546875" defaultRowHeight="15" x14ac:dyDescent="0.25"/>
  <cols>
    <col min="1" max="2" width="8.85546875" style="46"/>
    <col min="3" max="3" width="11.140625" style="46" bestFit="1" customWidth="1"/>
    <col min="4" max="4" width="9.5703125" style="46" bestFit="1" customWidth="1"/>
    <col min="5" max="16384" width="8.85546875" style="46"/>
  </cols>
  <sheetData>
    <row r="3" spans="1:18" x14ac:dyDescent="0.25">
      <c r="C3" s="64">
        <f>([3]Summary!B6-[3]Summary!I6)/1000</f>
        <v>582.41604021854607</v>
      </c>
      <c r="D3" s="35">
        <f>([3]Summary!J6-[3]Summary!Q6)/1000</f>
        <v>575.6386</v>
      </c>
    </row>
    <row r="4" spans="1:18" x14ac:dyDescent="0.25">
      <c r="C4" s="64">
        <f>([3]Summary!B7-[3]Summary!I7)/1000</f>
        <v>71.337450000000004</v>
      </c>
      <c r="D4" s="35">
        <f>([3]Summary!J7-[3]Summary!Q7)/1000</f>
        <v>70.88355</v>
      </c>
    </row>
    <row r="5" spans="1:18" x14ac:dyDescent="0.25">
      <c r="C5" s="64">
        <f>([3]Summary!B8-[3]Summary!I8)/1000</f>
        <v>285.04764021854601</v>
      </c>
      <c r="D5" s="35">
        <f>([3]Summary!J8-[3]Summary!Q8)/1000</f>
        <v>297.82600000000002</v>
      </c>
    </row>
    <row r="6" spans="1:18" x14ac:dyDescent="0.25">
      <c r="C6" s="64">
        <f>([3]Summary!B9-[3]Summary!I9)/1000</f>
        <v>92.370758043709202</v>
      </c>
      <c r="D6" s="35">
        <f>([3]Summary!J9-[3]Summary!Q9)/1000</f>
        <v>105.18713999999999</v>
      </c>
    </row>
    <row r="7" spans="1:18" x14ac:dyDescent="0.25">
      <c r="C7" s="64">
        <f>([3]Summary!B10-[3]Summary!I10)/1000</f>
        <v>284.02949999999998</v>
      </c>
      <c r="D7" s="35">
        <f>([3]Summary!J10-[3]Summary!Q10)/1000</f>
        <v>199.30920000000003</v>
      </c>
    </row>
    <row r="8" spans="1:18" x14ac:dyDescent="0.25">
      <c r="C8" s="64">
        <f>([3]Summary!B11-[3]Summary!I11)/1000</f>
        <v>1280.7490500000001</v>
      </c>
      <c r="D8" s="35">
        <f>([3]Summary!J11-[3]Summary!Q11)/1000</f>
        <v>1360.8005180000005</v>
      </c>
    </row>
    <row r="9" spans="1:18" x14ac:dyDescent="0.25">
      <c r="C9" s="64">
        <f>([3]Summary!B12-[3]Summary!I12)/1000</f>
        <v>2595.9504384808015</v>
      </c>
      <c r="D9" s="35">
        <f>([3]Summary!J12-[3]Summary!Q12)/1000</f>
        <v>2609.6450080000004</v>
      </c>
    </row>
    <row r="10" spans="1:18" x14ac:dyDescent="0.25">
      <c r="C10" s="55"/>
    </row>
    <row r="12" spans="1:18" x14ac:dyDescent="0.25">
      <c r="A12" s="46" t="s">
        <v>639</v>
      </c>
    </row>
    <row r="13" spans="1:18" ht="15.75" thickBot="1" x14ac:dyDescent="0.3">
      <c r="C13" s="46">
        <v>2019</v>
      </c>
      <c r="D13" s="46">
        <v>2020</v>
      </c>
    </row>
    <row r="14" spans="1:18" ht="15.75" thickBot="1" x14ac:dyDescent="0.3">
      <c r="B14" s="46" t="s">
        <v>536</v>
      </c>
      <c r="C14" s="35">
        <f>([3]Summary!B6-[3]Summary!I6)/1000</f>
        <v>582.41604021854607</v>
      </c>
      <c r="D14" s="35">
        <f>([3]Summary!J6-[3]Summary!Q6)/1000</f>
        <v>575.6386</v>
      </c>
      <c r="N14" s="39"/>
      <c r="O14" s="41">
        <v>2018</v>
      </c>
      <c r="P14" s="41">
        <v>2019</v>
      </c>
      <c r="Q14" s="41">
        <v>2020</v>
      </c>
      <c r="R14" s="41">
        <v>2021</v>
      </c>
    </row>
    <row r="15" spans="1:18" ht="15.75" thickBot="1" x14ac:dyDescent="0.3">
      <c r="B15" s="46" t="s">
        <v>537</v>
      </c>
      <c r="C15" s="35">
        <f>([3]Summary!B7-[3]Summary!I7)/1000</f>
        <v>71.337450000000004</v>
      </c>
      <c r="D15" s="35">
        <f>([3]Summary!J7-[3]Summary!Q7)/1000</f>
        <v>70.88355</v>
      </c>
      <c r="N15" s="45" t="s">
        <v>218</v>
      </c>
      <c r="O15" s="37">
        <v>722.9</v>
      </c>
      <c r="P15" s="37">
        <v>729</v>
      </c>
      <c r="Q15" s="37">
        <v>757.8</v>
      </c>
      <c r="R15" s="37">
        <v>767.2</v>
      </c>
    </row>
    <row r="16" spans="1:18" ht="15.75" thickBot="1" x14ac:dyDescent="0.3">
      <c r="B16" s="46" t="s">
        <v>538</v>
      </c>
      <c r="C16" s="35">
        <f>([3]Summary!B8-[3]Summary!I8)/1000</f>
        <v>285.04764021854601</v>
      </c>
      <c r="D16" s="35">
        <f>([3]Summary!J8-[3]Summary!Q8)/1000</f>
        <v>297.82600000000002</v>
      </c>
      <c r="N16" s="45" t="s">
        <v>220</v>
      </c>
      <c r="O16" s="37">
        <v>1768.3</v>
      </c>
      <c r="P16" s="37">
        <v>1791</v>
      </c>
      <c r="Q16" s="37">
        <v>1847.4</v>
      </c>
      <c r="R16" s="37">
        <v>1870.1</v>
      </c>
    </row>
    <row r="17" spans="1:18" ht="15.75" thickBot="1" x14ac:dyDescent="0.3">
      <c r="B17" s="46" t="s">
        <v>539</v>
      </c>
      <c r="C17" s="35">
        <f>([3]Summary!B9-[3]Summary!I9)/1000</f>
        <v>92.370758043709202</v>
      </c>
      <c r="D17" s="35">
        <f>([3]Summary!J9-[3]Summary!Q9)/1000</f>
        <v>105.18713999999999</v>
      </c>
      <c r="N17" s="45" t="s">
        <v>221</v>
      </c>
      <c r="O17" s="37">
        <v>456.4</v>
      </c>
      <c r="P17" s="37">
        <v>458.8</v>
      </c>
      <c r="Q17" s="37">
        <v>474.2</v>
      </c>
      <c r="R17" s="37">
        <v>479</v>
      </c>
    </row>
    <row r="18" spans="1:18" ht="15.75" thickBot="1" x14ac:dyDescent="0.3">
      <c r="B18" s="46" t="s">
        <v>540</v>
      </c>
      <c r="C18" s="35">
        <f>([3]Summary!B10-[3]Summary!I10)/1000</f>
        <v>284.02949999999998</v>
      </c>
      <c r="D18" s="35">
        <f>([3]Summary!J10-[3]Summary!Q10)/1000</f>
        <v>199.30920000000003</v>
      </c>
      <c r="N18" s="45" t="s">
        <v>222</v>
      </c>
      <c r="O18" s="37">
        <v>125.1</v>
      </c>
      <c r="P18" s="37">
        <v>105.6</v>
      </c>
      <c r="Q18" s="37">
        <v>108.7</v>
      </c>
      <c r="R18" s="37">
        <v>109.8</v>
      </c>
    </row>
    <row r="19" spans="1:18" ht="15.75" thickBot="1" x14ac:dyDescent="0.3">
      <c r="B19" s="46" t="s">
        <v>541</v>
      </c>
      <c r="C19" s="35">
        <f>([3]Summary!B11-[3]Summary!I11)/1000</f>
        <v>1280.7490500000001</v>
      </c>
      <c r="D19" s="35">
        <f>([3]Summary!J11-[3]Summary!Q11)/1000</f>
        <v>1360.8005180000005</v>
      </c>
      <c r="N19" s="45" t="s">
        <v>223</v>
      </c>
      <c r="O19" s="37">
        <v>41.5</v>
      </c>
      <c r="P19" s="37">
        <v>40.799999999999997</v>
      </c>
      <c r="Q19" s="37">
        <v>42</v>
      </c>
      <c r="R19" s="37">
        <v>41.9</v>
      </c>
    </row>
    <row r="20" spans="1:18" ht="15.75" thickBot="1" x14ac:dyDescent="0.3">
      <c r="C20" s="35">
        <f>SUM(C14:C19)</f>
        <v>2595.9504384808015</v>
      </c>
      <c r="D20" s="35">
        <f>SUM(D14:D19)</f>
        <v>2609.6450080000004</v>
      </c>
      <c r="N20" s="45" t="s">
        <v>213</v>
      </c>
      <c r="O20" s="37">
        <v>56.8</v>
      </c>
      <c r="P20" s="37">
        <v>47.1</v>
      </c>
      <c r="Q20" s="37">
        <v>48.1</v>
      </c>
      <c r="R20" s="37">
        <v>48.1</v>
      </c>
    </row>
    <row r="21" spans="1:18" ht="15.75" thickBot="1" x14ac:dyDescent="0.3">
      <c r="N21" s="45" t="s">
        <v>214</v>
      </c>
      <c r="O21" s="37">
        <v>61.1</v>
      </c>
      <c r="P21" s="37">
        <v>61</v>
      </c>
      <c r="Q21" s="37">
        <v>61.1</v>
      </c>
      <c r="R21" s="37">
        <v>61.2</v>
      </c>
    </row>
    <row r="22" spans="1:18" ht="15.75" thickBot="1" x14ac:dyDescent="0.3">
      <c r="A22" s="46" t="s">
        <v>640</v>
      </c>
      <c r="N22" s="57"/>
      <c r="O22" s="37">
        <v>3231.9</v>
      </c>
      <c r="P22" s="37">
        <v>3233.4</v>
      </c>
      <c r="Q22" s="37">
        <v>3339.3</v>
      </c>
      <c r="R22" s="37">
        <v>3377.3</v>
      </c>
    </row>
    <row r="24" spans="1:18" x14ac:dyDescent="0.25">
      <c r="B24" s="46" t="str">
        <f>N25</f>
        <v>Elem</v>
      </c>
      <c r="C24" s="35">
        <f>C$20*P25</f>
        <v>596.53507428209059</v>
      </c>
      <c r="D24" s="35">
        <f>D$20*Q25</f>
        <v>603.25452597840285</v>
      </c>
    </row>
    <row r="25" spans="1:18" x14ac:dyDescent="0.25">
      <c r="B25" s="46" t="str">
        <f t="shared" ref="B25:B29" si="0">N26</f>
        <v>Prim</v>
      </c>
      <c r="C25" s="35">
        <f t="shared" ref="C25:D29" si="1">C$20*P26</f>
        <v>1465.5614787918028</v>
      </c>
      <c r="D25" s="35">
        <f t="shared" si="1"/>
        <v>1470.6418729117202</v>
      </c>
      <c r="N25" s="46" t="str">
        <f>N15</f>
        <v>Elem</v>
      </c>
      <c r="O25" s="58">
        <f>O15/(O$22-O$21)</f>
        <v>0.22798662798032041</v>
      </c>
      <c r="P25" s="58">
        <f t="shared" ref="P25:R25" si="2">P15/(P$22-P$21)</f>
        <v>0.22979447736729289</v>
      </c>
      <c r="Q25" s="58">
        <f t="shared" si="2"/>
        <v>0.23116344335305958</v>
      </c>
      <c r="R25" s="58">
        <f t="shared" si="2"/>
        <v>0.23135611109435783</v>
      </c>
    </row>
    <row r="26" spans="1:18" x14ac:dyDescent="0.25">
      <c r="B26" s="46" t="str">
        <f t="shared" si="0"/>
        <v>Sec</v>
      </c>
      <c r="C26" s="35">
        <f t="shared" si="1"/>
        <v>375.43249942472318</v>
      </c>
      <c r="D26" s="35">
        <f t="shared" si="1"/>
        <v>377.49181343224944</v>
      </c>
      <c r="N26" s="46" t="str">
        <f t="shared" ref="N26:N30" si="3">N16</f>
        <v>Prim</v>
      </c>
      <c r="O26" s="58">
        <f t="shared" ref="O26:R30" si="4">O16/(O$22-O$21)</f>
        <v>0.55768260375930356</v>
      </c>
      <c r="P26" s="58">
        <f t="shared" si="4"/>
        <v>0.56455680242088002</v>
      </c>
      <c r="Q26" s="58">
        <f t="shared" si="4"/>
        <v>0.56354096760417305</v>
      </c>
      <c r="R26" s="58">
        <f t="shared" si="4"/>
        <v>0.5639455987455142</v>
      </c>
    </row>
    <row r="27" spans="1:18" x14ac:dyDescent="0.25">
      <c r="B27" s="46" t="str">
        <f t="shared" si="0"/>
        <v>Voc</v>
      </c>
      <c r="C27" s="35">
        <f t="shared" si="1"/>
        <v>86.411665081191728</v>
      </c>
      <c r="D27" s="35">
        <f t="shared" si="1"/>
        <v>86.531759004819733</v>
      </c>
      <c r="N27" s="46" t="str">
        <f t="shared" si="3"/>
        <v>Sec</v>
      </c>
      <c r="O27" s="58">
        <f t="shared" si="4"/>
        <v>0.1439384382490223</v>
      </c>
      <c r="P27" s="58">
        <f t="shared" si="4"/>
        <v>0.1446223679233388</v>
      </c>
      <c r="Q27" s="58">
        <f t="shared" si="4"/>
        <v>0.14465255323043133</v>
      </c>
      <c r="R27" s="58">
        <f t="shared" si="4"/>
        <v>0.14444678990380264</v>
      </c>
    </row>
    <row r="28" spans="1:18" x14ac:dyDescent="0.25">
      <c r="B28" s="46" t="str">
        <f t="shared" si="0"/>
        <v>Tr Colls</v>
      </c>
      <c r="C28" s="35">
        <f t="shared" si="1"/>
        <v>33.386325145005891</v>
      </c>
      <c r="D28" s="35">
        <f t="shared" si="1"/>
        <v>33.434534298090419</v>
      </c>
      <c r="N28" s="46" t="str">
        <f t="shared" si="3"/>
        <v>Voc</v>
      </c>
      <c r="O28" s="58">
        <f t="shared" si="4"/>
        <v>3.9453765611202216E-2</v>
      </c>
      <c r="P28" s="58">
        <f t="shared" si="4"/>
        <v>3.3287101248266296E-2</v>
      </c>
      <c r="Q28" s="58">
        <f t="shared" si="4"/>
        <v>3.3158440607650538E-2</v>
      </c>
      <c r="R28" s="58">
        <f t="shared" si="4"/>
        <v>3.3111184825548076E-2</v>
      </c>
    </row>
    <row r="29" spans="1:18" x14ac:dyDescent="0.25">
      <c r="B29" s="46" t="str">
        <f t="shared" si="0"/>
        <v>Tech</v>
      </c>
      <c r="C29" s="35">
        <f t="shared" si="1"/>
        <v>38.541566527690634</v>
      </c>
      <c r="D29" s="35">
        <f t="shared" si="1"/>
        <v>38.290502374717832</v>
      </c>
      <c r="N29" s="46" t="str">
        <f t="shared" si="3"/>
        <v>Tr Colls</v>
      </c>
      <c r="O29" s="58">
        <f t="shared" si="4"/>
        <v>1.308817963920777E-2</v>
      </c>
      <c r="P29" s="58">
        <f t="shared" si="4"/>
        <v>1.2860925482284704E-2</v>
      </c>
      <c r="Q29" s="58">
        <f t="shared" si="4"/>
        <v>1.2811908974437189E-2</v>
      </c>
      <c r="R29" s="58">
        <f t="shared" si="4"/>
        <v>1.2635324628328457E-2</v>
      </c>
    </row>
    <row r="30" spans="1:18" x14ac:dyDescent="0.25">
      <c r="C30" s="35">
        <f t="shared" ref="C30:D30" si="5">SUM(C24:C29)</f>
        <v>2595.868609252504</v>
      </c>
      <c r="D30" s="35">
        <f t="shared" si="5"/>
        <v>2609.6450080000009</v>
      </c>
      <c r="N30" s="46" t="str">
        <f t="shared" si="3"/>
        <v>Tech</v>
      </c>
      <c r="O30" s="58">
        <f t="shared" si="4"/>
        <v>1.7913460325469911E-2</v>
      </c>
      <c r="P30" s="58">
        <f t="shared" si="4"/>
        <v>1.4846803681755139E-2</v>
      </c>
      <c r="Q30" s="58">
        <f t="shared" si="4"/>
        <v>1.4672686230248306E-2</v>
      </c>
      <c r="R30" s="58">
        <f t="shared" si="4"/>
        <v>1.4504990802448658E-2</v>
      </c>
    </row>
    <row r="31" spans="1:18" ht="15.75" thickBot="1" x14ac:dyDescent="0.3">
      <c r="H31" s="60">
        <v>943622</v>
      </c>
      <c r="I31" s="60">
        <v>925469</v>
      </c>
      <c r="O31" s="59">
        <f t="shared" ref="O31:R31" si="6">SUM(O25:O30)</f>
        <v>1.0000630755645261</v>
      </c>
      <c r="P31" s="59">
        <f t="shared" si="6"/>
        <v>0.99996847812381784</v>
      </c>
      <c r="Q31" s="59">
        <f t="shared" si="6"/>
        <v>1</v>
      </c>
      <c r="R31" s="59">
        <f t="shared" si="6"/>
        <v>1</v>
      </c>
    </row>
    <row r="32" spans="1:18" ht="15.75" thickBot="1" x14ac:dyDescent="0.3">
      <c r="A32" s="46" t="s">
        <v>641</v>
      </c>
      <c r="H32" s="61">
        <v>1099293</v>
      </c>
      <c r="I32" s="61">
        <v>1146088</v>
      </c>
    </row>
    <row r="33" spans="1:9" ht="15.75" thickBot="1" x14ac:dyDescent="0.3">
      <c r="H33" s="62">
        <v>241489</v>
      </c>
      <c r="I33" s="62">
        <v>263906</v>
      </c>
    </row>
    <row r="34" spans="1:9" x14ac:dyDescent="0.25">
      <c r="B34" s="46" t="str">
        <f>B24</f>
        <v>Elem</v>
      </c>
      <c r="C34" s="35">
        <f>C24*1000000/H31</f>
        <v>632.17588640588133</v>
      </c>
      <c r="D34" s="35">
        <f>D24*1000000/I31</f>
        <v>651.83655636050787</v>
      </c>
    </row>
    <row r="35" spans="1:9" x14ac:dyDescent="0.25">
      <c r="B35" s="46" t="str">
        <f t="shared" ref="B35:B36" si="7">B25</f>
        <v>Prim</v>
      </c>
      <c r="C35" s="35">
        <f t="shared" ref="C35:D36" si="8">C25*1000000/H32</f>
        <v>1333.1854917586145</v>
      </c>
      <c r="D35" s="35">
        <f t="shared" si="8"/>
        <v>1283.1840774109144</v>
      </c>
    </row>
    <row r="36" spans="1:9" x14ac:dyDescent="0.25">
      <c r="B36" s="46" t="str">
        <f t="shared" si="7"/>
        <v>Sec</v>
      </c>
      <c r="C36" s="35">
        <f t="shared" si="8"/>
        <v>1554.656731464883</v>
      </c>
      <c r="D36" s="35">
        <f t="shared" si="8"/>
        <v>1430.4025426941769</v>
      </c>
    </row>
    <row r="41" spans="1:9" x14ac:dyDescent="0.25">
      <c r="A41" s="46" t="s">
        <v>613</v>
      </c>
    </row>
    <row r="42" spans="1:9" x14ac:dyDescent="0.25">
      <c r="C42" s="55">
        <f>[3]Summary!C6/1000</f>
        <v>2.7351999999999999</v>
      </c>
      <c r="D42" s="55">
        <f>[3]Summary!K6/1000</f>
        <v>1.4470999999999998</v>
      </c>
    </row>
    <row r="43" spans="1:9" x14ac:dyDescent="0.25">
      <c r="C43" s="55">
        <f>[3]Summary!C7/1000</f>
        <v>22.477450000000001</v>
      </c>
      <c r="D43" s="55">
        <f>[3]Summary!K7/1000</f>
        <v>23.29355</v>
      </c>
    </row>
    <row r="44" spans="1:9" x14ac:dyDescent="0.25">
      <c r="C44" s="55">
        <f>[3]Summary!C8/1000</f>
        <v>41.286300000000004</v>
      </c>
      <c r="D44" s="55">
        <f>[3]Summary!K8/1000</f>
        <v>42.690199999999997</v>
      </c>
    </row>
    <row r="45" spans="1:9" x14ac:dyDescent="0.25">
      <c r="C45" s="55">
        <f>[3]Summary!C9/1000</f>
        <v>36.083750000000002</v>
      </c>
      <c r="D45" s="55">
        <f>[3]Summary!K9/1000</f>
        <v>37.877499999999998</v>
      </c>
    </row>
    <row r="46" spans="1:9" x14ac:dyDescent="0.25">
      <c r="C46" s="55">
        <f>[3]Summary!C10/1000</f>
        <v>10.279500000000001</v>
      </c>
      <c r="D46" s="55">
        <f>[3]Summary!K10/1000</f>
        <v>10.709200000000001</v>
      </c>
    </row>
    <row r="47" spans="1:9" x14ac:dyDescent="0.25">
      <c r="C47" s="55">
        <f>[3]Summary!C11/1000</f>
        <v>75.895049999999998</v>
      </c>
      <c r="D47" s="55">
        <f>[3]Summary!K11/1000</f>
        <v>79.518278000000009</v>
      </c>
    </row>
    <row r="48" spans="1:9" x14ac:dyDescent="0.25">
      <c r="C48" s="55">
        <f>[3]Summary!C12/1000</f>
        <v>188.75725</v>
      </c>
      <c r="D48" s="55">
        <f>[3]Summary!K12/1000</f>
        <v>195.53582799999998</v>
      </c>
    </row>
    <row r="50" spans="1:4" x14ac:dyDescent="0.25">
      <c r="A50" s="46" t="s">
        <v>642</v>
      </c>
    </row>
    <row r="51" spans="1:4" x14ac:dyDescent="0.25">
      <c r="B51" s="46" t="s">
        <v>643</v>
      </c>
      <c r="C51" s="64">
        <f>[3]Summary!G6/1000</f>
        <v>180.1</v>
      </c>
      <c r="D51" s="64">
        <f>[3]Summary!O6/1000</f>
        <v>192.1</v>
      </c>
    </row>
    <row r="52" spans="1:4" x14ac:dyDescent="0.25">
      <c r="B52" s="46" t="s">
        <v>644</v>
      </c>
      <c r="C52" s="64">
        <f>[3]Summary!G7/1000</f>
        <v>0</v>
      </c>
      <c r="D52" s="64">
        <f>[3]Summary!O7/1000</f>
        <v>0</v>
      </c>
    </row>
    <row r="53" spans="1:4" x14ac:dyDescent="0.25">
      <c r="B53" s="46" t="s">
        <v>645</v>
      </c>
      <c r="C53" s="64">
        <f>[3]Summary!G8/1000</f>
        <v>174.672</v>
      </c>
      <c r="D53" s="64">
        <f>[3]Summary!O8/1000</f>
        <v>186.482</v>
      </c>
    </row>
    <row r="54" spans="1:4" x14ac:dyDescent="0.25">
      <c r="B54" s="46" t="s">
        <v>646</v>
      </c>
      <c r="C54" s="64">
        <f>[3]Summary!G9/1000</f>
        <v>0</v>
      </c>
      <c r="D54" s="64">
        <f>[3]Summary!O9/1000</f>
        <v>0</v>
      </c>
    </row>
    <row r="55" spans="1:4" x14ac:dyDescent="0.25">
      <c r="B55" s="46" t="s">
        <v>647</v>
      </c>
      <c r="C55" s="64">
        <f>[3]Summary!G10/1000</f>
        <v>228.2</v>
      </c>
      <c r="D55" s="64">
        <f>[3]Summary!O10/1000</f>
        <v>243.7</v>
      </c>
    </row>
    <row r="56" spans="1:4" x14ac:dyDescent="0.25">
      <c r="B56" s="46" t="s">
        <v>648</v>
      </c>
      <c r="C56" s="64">
        <f>[3]Summary!G11/1000</f>
        <v>0</v>
      </c>
      <c r="D56" s="64">
        <f>[3]Summary!O11/1000</f>
        <v>0</v>
      </c>
    </row>
    <row r="57" spans="1:4" x14ac:dyDescent="0.25">
      <c r="C57" s="64">
        <f t="shared" ref="C57:D57" si="9">SUM(C51:C56)</f>
        <v>582.97199999999998</v>
      </c>
      <c r="D57" s="64">
        <f t="shared" si="9"/>
        <v>622.28199999999993</v>
      </c>
    </row>
    <row r="59" spans="1:4" x14ac:dyDescent="0.25">
      <c r="A59" s="46" t="s">
        <v>649</v>
      </c>
    </row>
    <row r="60" spans="1:4" x14ac:dyDescent="0.25">
      <c r="B60" s="46" t="str">
        <f>B51</f>
        <v>FA1</v>
      </c>
      <c r="C60" s="64">
        <f>[3]Summary!E6/1000</f>
        <v>395.06579999999997</v>
      </c>
      <c r="D60" s="64">
        <f>[3]Summary!M6/1000</f>
        <v>377.56579999999997</v>
      </c>
    </row>
    <row r="61" spans="1:4" x14ac:dyDescent="0.25">
      <c r="B61" s="46" t="str">
        <f t="shared" ref="B61:B65" si="10">B52</f>
        <v>FA2</v>
      </c>
      <c r="C61" s="64">
        <f>[3]Summary!E7/1000</f>
        <v>8</v>
      </c>
      <c r="D61" s="64">
        <f>[3]Summary!M7/1000</f>
        <v>8</v>
      </c>
    </row>
    <row r="62" spans="1:4" x14ac:dyDescent="0.25">
      <c r="B62" s="46" t="str">
        <f t="shared" si="10"/>
        <v>FA3</v>
      </c>
      <c r="C62" s="64">
        <f>[3]Summary!E8/1000</f>
        <v>53.151900000000005</v>
      </c>
      <c r="D62" s="64">
        <f>[3]Summary!M8/1000</f>
        <v>53.151900000000005</v>
      </c>
    </row>
    <row r="63" spans="1:4" x14ac:dyDescent="0.25">
      <c r="B63" s="46" t="str">
        <f t="shared" si="10"/>
        <v>FA4</v>
      </c>
      <c r="C63" s="64">
        <f>[3]Summary!E9/1000</f>
        <v>2</v>
      </c>
      <c r="D63" s="64">
        <f>[3]Summary!M9/1000</f>
        <v>2</v>
      </c>
    </row>
    <row r="64" spans="1:4" x14ac:dyDescent="0.25">
      <c r="B64" s="46" t="str">
        <f t="shared" si="10"/>
        <v>FA5</v>
      </c>
      <c r="C64" s="64">
        <f>[3]Summary!E10/1000</f>
        <v>38.200000000000003</v>
      </c>
      <c r="D64" s="64">
        <f>[3]Summary!M10/1000</f>
        <v>33.200000000000003</v>
      </c>
    </row>
    <row r="65" spans="1:4" x14ac:dyDescent="0.25">
      <c r="B65" s="46" t="str">
        <f t="shared" si="10"/>
        <v>FA6</v>
      </c>
      <c r="C65" s="64">
        <f>[3]Summary!E11/1000</f>
        <v>1197.7539999999999</v>
      </c>
      <c r="D65" s="64">
        <f>[3]Summary!M11/1000</f>
        <v>1275.2822400000002</v>
      </c>
    </row>
    <row r="66" spans="1:4" x14ac:dyDescent="0.25">
      <c r="C66" s="64">
        <f t="shared" ref="C66:D66" si="11">SUM(C60:C65)</f>
        <v>1694.1716999999999</v>
      </c>
      <c r="D66" s="64">
        <f t="shared" si="11"/>
        <v>1749.1999400000002</v>
      </c>
    </row>
    <row r="68" spans="1:4" x14ac:dyDescent="0.25">
      <c r="A68" s="46" t="s">
        <v>650</v>
      </c>
    </row>
    <row r="69" spans="1:4" x14ac:dyDescent="0.25">
      <c r="B69" s="46" t="str">
        <f>B60</f>
        <v>FA1</v>
      </c>
      <c r="C69" s="35">
        <f>([3]Summary!D6+[3]Summary!H6)/1000</f>
        <v>4.5150402185460612</v>
      </c>
      <c r="D69" s="35">
        <f>([3]Summary!L6+[3]Summary!P6)/1000</f>
        <v>4.5256999999999996</v>
      </c>
    </row>
    <row r="70" spans="1:4" x14ac:dyDescent="0.25">
      <c r="B70" s="46" t="str">
        <f t="shared" ref="B70:B74" si="12">B61</f>
        <v>FA2</v>
      </c>
      <c r="C70" s="35">
        <f>([3]Summary!D7+[3]Summary!H7)/1000</f>
        <v>40.86</v>
      </c>
      <c r="D70" s="35">
        <f>([3]Summary!L7+[3]Summary!P7)/1000</f>
        <v>39.590000000000003</v>
      </c>
    </row>
    <row r="71" spans="1:4" x14ac:dyDescent="0.25">
      <c r="B71" s="46" t="str">
        <f t="shared" si="12"/>
        <v>FA3</v>
      </c>
      <c r="C71" s="35">
        <f>([3]Summary!D8+[3]Summary!H8)/1000</f>
        <v>44.581706885212725</v>
      </c>
      <c r="D71" s="35">
        <f>([3]Summary!L8+[3]Summary!P8)/1000</f>
        <v>44.144666666666666</v>
      </c>
    </row>
    <row r="72" spans="1:4" x14ac:dyDescent="0.25">
      <c r="B72" s="46" t="str">
        <f t="shared" si="12"/>
        <v>FA4</v>
      </c>
      <c r="C72" s="35">
        <f>([3]Summary!D9+[3]Summary!H9)/1000</f>
        <v>53.983008043709212</v>
      </c>
      <c r="D72" s="35">
        <f>([3]Summary!L9+[3]Summary!P9)/1000</f>
        <v>64.985140000000001</v>
      </c>
    </row>
    <row r="73" spans="1:4" x14ac:dyDescent="0.25">
      <c r="B73" s="46" t="str">
        <f t="shared" si="12"/>
        <v>FA5</v>
      </c>
      <c r="C73" s="35">
        <f>([3]Summary!D10+[3]Summary!H10)/1000</f>
        <v>7.35</v>
      </c>
      <c r="D73" s="35">
        <f>([3]Summary!L10+[3]Summary!P10)/1000</f>
        <v>7</v>
      </c>
    </row>
    <row r="74" spans="1:4" x14ac:dyDescent="0.25">
      <c r="B74" s="46" t="str">
        <f t="shared" si="12"/>
        <v>FA6</v>
      </c>
      <c r="C74" s="35">
        <f>([3]Summary!D11+[3]Summary!H11)/1000</f>
        <v>7.1</v>
      </c>
      <c r="D74" s="35">
        <f>([3]Summary!L11+[3]Summary!P11)/1000</f>
        <v>6</v>
      </c>
    </row>
    <row r="75" spans="1:4" x14ac:dyDescent="0.25">
      <c r="C75" s="35">
        <f t="shared" ref="C75:D75" si="13">SUM(C69:C74)</f>
        <v>158.38975514746798</v>
      </c>
      <c r="D75" s="35">
        <f t="shared" si="13"/>
        <v>166.24550666666667</v>
      </c>
    </row>
    <row r="77" spans="1:4" x14ac:dyDescent="0.25">
      <c r="A77" s="46" t="s">
        <v>655</v>
      </c>
    </row>
    <row r="78" spans="1:4" ht="15.75" thickBot="1" x14ac:dyDescent="0.3"/>
    <row r="79" spans="1:4" ht="15.75" thickBot="1" x14ac:dyDescent="0.3">
      <c r="B79" s="63" t="s">
        <v>651</v>
      </c>
      <c r="C79" s="64">
        <f>[3]Summary!C12/1000</f>
        <v>188.75725</v>
      </c>
      <c r="D79" s="64">
        <f>[3]Summary!K12/1000</f>
        <v>195.53582799999998</v>
      </c>
    </row>
    <row r="80" spans="1:4" ht="15.75" thickBot="1" x14ac:dyDescent="0.3">
      <c r="B80" s="45" t="s">
        <v>652</v>
      </c>
      <c r="C80" s="64">
        <f>[3]Summary!E12/1000</f>
        <v>1694.1716999999999</v>
      </c>
      <c r="D80" s="64">
        <f>[3]Summary!M12/1000</f>
        <v>1749.1999400000002</v>
      </c>
    </row>
    <row r="81" spans="1:4" ht="15.75" thickBot="1" x14ac:dyDescent="0.3">
      <c r="B81" s="45" t="s">
        <v>49</v>
      </c>
      <c r="C81" s="64">
        <f>[3]Summary!G12/1000</f>
        <v>582.97199999999998</v>
      </c>
      <c r="D81" s="64">
        <f>[3]Summary!O12/1000</f>
        <v>622.28200000000004</v>
      </c>
    </row>
    <row r="82" spans="1:4" ht="15.75" thickBot="1" x14ac:dyDescent="0.3">
      <c r="B82" s="45" t="s">
        <v>653</v>
      </c>
      <c r="C82" s="64">
        <f>[3]Summary!F12/1000</f>
        <v>0.32639999999999997</v>
      </c>
      <c r="D82" s="64">
        <f>[3]Summary!N12/1000</f>
        <v>0.34839999999999999</v>
      </c>
    </row>
    <row r="83" spans="1:4" ht="15.75" thickBot="1" x14ac:dyDescent="0.3">
      <c r="B83" s="45" t="s">
        <v>654</v>
      </c>
      <c r="C83" s="64">
        <f>([3]Summary!D12+[3]Summary!H12)/1000</f>
        <v>158.38975514746801</v>
      </c>
      <c r="D83" s="64">
        <f>([3]Summary!L12+[3]Summary!P12)/1000</f>
        <v>166.24550666666664</v>
      </c>
    </row>
    <row r="84" spans="1:4" x14ac:dyDescent="0.25">
      <c r="C84" s="64">
        <f t="shared" ref="C84:D84" si="14">SUM(C79:C83)</f>
        <v>2624.617105147468</v>
      </c>
      <c r="D84" s="64">
        <f t="shared" si="14"/>
        <v>2733.6116746666667</v>
      </c>
    </row>
    <row r="86" spans="1:4" x14ac:dyDescent="0.25">
      <c r="A86" s="46" t="s">
        <v>657</v>
      </c>
    </row>
    <row r="87" spans="1:4" x14ac:dyDescent="0.25">
      <c r="B87" s="46" t="str">
        <f>B69</f>
        <v>FA1</v>
      </c>
      <c r="C87" s="55">
        <f>[3]Summary!I6/1000</f>
        <v>2.5065999999999997</v>
      </c>
      <c r="D87" s="55">
        <f>[3]Summary!Q6/1000</f>
        <v>2.5065999999999997</v>
      </c>
    </row>
    <row r="88" spans="1:4" x14ac:dyDescent="0.25">
      <c r="B88" s="46" t="str">
        <f t="shared" ref="B88:B92" si="15">B70</f>
        <v>FA2</v>
      </c>
      <c r="C88" s="55">
        <f>[3]Summary!I7/1000</f>
        <v>3.3075000000000001</v>
      </c>
      <c r="D88" s="55">
        <f>[3]Summary!Q7/1000</f>
        <v>3.3075000000000001</v>
      </c>
    </row>
    <row r="89" spans="1:4" x14ac:dyDescent="0.25">
      <c r="B89" s="46" t="str">
        <f t="shared" si="15"/>
        <v>FA3</v>
      </c>
      <c r="C89" s="55">
        <f>[3]Summary!I8/1000</f>
        <v>23.433699999999998</v>
      </c>
      <c r="D89" s="55">
        <f>[3]Summary!Q8/1000</f>
        <v>23.433400000000002</v>
      </c>
    </row>
    <row r="90" spans="1:4" x14ac:dyDescent="0.25">
      <c r="B90" s="46" t="str">
        <f t="shared" si="15"/>
        <v>FA4</v>
      </c>
      <c r="C90" s="55">
        <f>[3]Summary!I9/1000</f>
        <v>3.4605999999999999</v>
      </c>
      <c r="D90" s="55">
        <f>[3]Summary!Q9/1000</f>
        <v>3.4605999999999999</v>
      </c>
    </row>
    <row r="91" spans="1:4" x14ac:dyDescent="0.25">
      <c r="B91" s="46" t="str">
        <f t="shared" si="15"/>
        <v>FA5</v>
      </c>
      <c r="C91" s="55">
        <f>[3]Summary!I10/1000</f>
        <v>5.7629999999999999</v>
      </c>
      <c r="D91" s="55">
        <f>[3]Summary!Q10/1000</f>
        <v>5.7629999999999999</v>
      </c>
    </row>
    <row r="92" spans="1:4" x14ac:dyDescent="0.25">
      <c r="B92" s="46" t="str">
        <f t="shared" si="15"/>
        <v>FA6</v>
      </c>
      <c r="C92" s="55">
        <f>[3]Summary!I11/1000</f>
        <v>3.1185</v>
      </c>
      <c r="D92" s="55">
        <f>[3]Summary!Q11/1000</f>
        <v>3.3874</v>
      </c>
    </row>
    <row r="93" spans="1:4" x14ac:dyDescent="0.25">
      <c r="C93" s="55">
        <f>[3]Summary!I12/1000</f>
        <v>41.589899999999993</v>
      </c>
      <c r="D93" s="55">
        <f>[3]Summary!Q12/1000</f>
        <v>41.858499999999999</v>
      </c>
    </row>
    <row r="96" spans="1:4" x14ac:dyDescent="0.25">
      <c r="A96" s="46" t="s">
        <v>658</v>
      </c>
      <c r="C96" s="55"/>
      <c r="D96" s="55"/>
    </row>
    <row r="97" spans="2:4" ht="15.75" thickBot="1" x14ac:dyDescent="0.3">
      <c r="B97" s="45" t="s">
        <v>651</v>
      </c>
      <c r="C97" s="55">
        <f>C48+C93</f>
        <v>230.34715</v>
      </c>
      <c r="D97" s="55">
        <f>D48+D93</f>
        <v>237.39432799999997</v>
      </c>
    </row>
    <row r="98" spans="2:4" ht="15.75" thickBot="1" x14ac:dyDescent="0.3">
      <c r="B98" s="45" t="s">
        <v>652</v>
      </c>
      <c r="C98" s="55">
        <f>C66</f>
        <v>1694.1716999999999</v>
      </c>
      <c r="D98" s="55">
        <f>D66</f>
        <v>1749.1999400000002</v>
      </c>
    </row>
    <row r="99" spans="2:4" ht="15.75" thickBot="1" x14ac:dyDescent="0.3">
      <c r="B99" s="45" t="s">
        <v>49</v>
      </c>
      <c r="C99" s="55">
        <f>C57</f>
        <v>582.97199999999998</v>
      </c>
      <c r="D99" s="55">
        <f>D57</f>
        <v>622.28199999999993</v>
      </c>
    </row>
    <row r="100" spans="2:4" ht="15.75" thickBot="1" x14ac:dyDescent="0.3">
      <c r="B100" s="45" t="s">
        <v>653</v>
      </c>
      <c r="C100" s="55">
        <f>[3]Summary!F12/1000</f>
        <v>0.32639999999999997</v>
      </c>
      <c r="D100" s="55">
        <f>[3]Summary!N12/1000</f>
        <v>0.34839999999999999</v>
      </c>
    </row>
    <row r="101" spans="2:4" ht="15.75" thickBot="1" x14ac:dyDescent="0.3">
      <c r="B101" s="45" t="s">
        <v>654</v>
      </c>
      <c r="C101" s="35">
        <f>C75</f>
        <v>158.38975514746798</v>
      </c>
      <c r="D101" s="35">
        <f>D75</f>
        <v>166.24550666666667</v>
      </c>
    </row>
    <row r="102" spans="2:4" ht="15.75" thickBot="1" x14ac:dyDescent="0.3">
      <c r="B102" s="45" t="s">
        <v>659</v>
      </c>
      <c r="C102" s="46">
        <v>260.39999999999998</v>
      </c>
      <c r="D102" s="46">
        <v>346.8</v>
      </c>
    </row>
    <row r="103" spans="2:4" ht="15.75" thickBot="1" x14ac:dyDescent="0.3">
      <c r="B103" s="65" t="s">
        <v>52</v>
      </c>
      <c r="C103" s="55">
        <f t="shared" ref="C103:D103" si="16">SUM(C97:C102)</f>
        <v>2926.607005147468</v>
      </c>
      <c r="D103" s="55">
        <f t="shared" si="16"/>
        <v>3122.2701746666667</v>
      </c>
    </row>
    <row r="104" spans="2:4" ht="15.75" thickBot="1" x14ac:dyDescent="0.3">
      <c r="B104" s="45" t="s">
        <v>660</v>
      </c>
      <c r="C104" s="58">
        <f>(C93+C102)/C103</f>
        <v>0.1031877185658493</v>
      </c>
      <c r="D104" s="58">
        <f>(D93+D102)/D103</f>
        <v>0.12447945829719657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8"/>
  <sheetViews>
    <sheetView tabSelected="1" zoomScale="115" zoomScaleNormal="115" workbookViewId="0">
      <selection activeCell="D16" sqref="D16"/>
    </sheetView>
  </sheetViews>
  <sheetFormatPr defaultColWidth="8.85546875" defaultRowHeight="11.25" x14ac:dyDescent="0.2"/>
  <cols>
    <col min="1" max="1" width="3.85546875" style="42" customWidth="1"/>
    <col min="2" max="2" width="34.85546875" style="42" customWidth="1"/>
    <col min="3" max="3" width="7.5703125" style="42" customWidth="1"/>
    <col min="4" max="4" width="25.42578125" style="42" customWidth="1"/>
    <col min="5" max="5" width="20.85546875" style="42" customWidth="1"/>
    <col min="6" max="6" width="7.42578125" style="42" customWidth="1"/>
    <col min="7" max="7" width="8.5703125" style="79" customWidth="1"/>
    <col min="8" max="15" width="3.140625" style="42" customWidth="1"/>
    <col min="16" max="16" width="5.140625" style="42" customWidth="1"/>
    <col min="17" max="18" width="4.140625" style="42" customWidth="1"/>
    <col min="19" max="19" width="5.42578125" style="42" customWidth="1"/>
    <col min="20" max="20" width="4.140625" style="42" customWidth="1"/>
    <col min="21" max="21" width="5.42578125" style="42" customWidth="1"/>
    <col min="22" max="23" width="4.140625" style="42" customWidth="1"/>
    <col min="24" max="24" width="5.140625" style="42" customWidth="1"/>
    <col min="25" max="31" width="4.140625" style="42" customWidth="1"/>
    <col min="32" max="32" width="29.42578125" style="42" customWidth="1"/>
    <col min="33" max="16384" width="8.85546875" style="42"/>
  </cols>
  <sheetData>
    <row r="1" spans="1:32" ht="12.75" thickBot="1" x14ac:dyDescent="0.25">
      <c r="A1" s="76">
        <v>1</v>
      </c>
      <c r="B1" s="77" t="s">
        <v>40</v>
      </c>
      <c r="C1" s="77"/>
      <c r="D1" s="78" t="s">
        <v>35</v>
      </c>
    </row>
    <row r="2" spans="1:32" x14ac:dyDescent="0.2">
      <c r="A2" s="67">
        <v>1.1000000000000001</v>
      </c>
      <c r="B2" s="67" t="s">
        <v>239</v>
      </c>
      <c r="C2" s="67"/>
    </row>
    <row r="3" spans="1:32" x14ac:dyDescent="0.2">
      <c r="A3" s="42">
        <v>1</v>
      </c>
      <c r="B3" s="40" t="s">
        <v>242</v>
      </c>
      <c r="C3" s="40"/>
    </row>
    <row r="4" spans="1:32" x14ac:dyDescent="0.2">
      <c r="A4" s="42">
        <v>2</v>
      </c>
      <c r="B4" s="40" t="s">
        <v>243</v>
      </c>
      <c r="C4" s="40"/>
    </row>
    <row r="5" spans="1:32" x14ac:dyDescent="0.2">
      <c r="A5" s="42">
        <v>14</v>
      </c>
      <c r="B5" s="40" t="s">
        <v>279</v>
      </c>
      <c r="C5" s="40"/>
    </row>
    <row r="6" spans="1:32" x14ac:dyDescent="0.2">
      <c r="A6" s="42">
        <v>66</v>
      </c>
      <c r="B6" s="40" t="s">
        <v>603</v>
      </c>
      <c r="C6" s="40"/>
    </row>
    <row r="7" spans="1:32" x14ac:dyDescent="0.2">
      <c r="A7" s="67">
        <v>1.3</v>
      </c>
      <c r="B7" s="67" t="s">
        <v>263</v>
      </c>
      <c r="C7" s="67"/>
    </row>
    <row r="8" spans="1:32" x14ac:dyDescent="0.2">
      <c r="A8" s="42">
        <v>10</v>
      </c>
      <c r="B8" s="40" t="s">
        <v>264</v>
      </c>
      <c r="C8" s="40"/>
    </row>
    <row r="9" spans="1:32" x14ac:dyDescent="0.2">
      <c r="H9" s="122" t="s">
        <v>58</v>
      </c>
      <c r="I9" s="122"/>
      <c r="J9" s="122"/>
      <c r="K9" s="122"/>
      <c r="L9" s="122"/>
      <c r="M9" s="122"/>
      <c r="N9" s="122"/>
      <c r="O9" s="122"/>
      <c r="P9" s="123" t="s">
        <v>61</v>
      </c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</row>
    <row r="10" spans="1:32" ht="12" customHeight="1" x14ac:dyDescent="0.2">
      <c r="H10" s="124">
        <v>2019</v>
      </c>
      <c r="I10" s="124"/>
      <c r="J10" s="124"/>
      <c r="K10" s="124"/>
      <c r="L10" s="124">
        <v>2020</v>
      </c>
      <c r="M10" s="124"/>
      <c r="N10" s="124"/>
      <c r="O10" s="124"/>
      <c r="P10" s="124">
        <v>2019</v>
      </c>
      <c r="Q10" s="124"/>
      <c r="R10" s="124"/>
      <c r="S10" s="124"/>
      <c r="T10" s="124"/>
      <c r="U10" s="124"/>
      <c r="V10" s="124"/>
      <c r="W10" s="124"/>
      <c r="X10" s="125">
        <v>2020</v>
      </c>
      <c r="Y10" s="126"/>
      <c r="Z10" s="126"/>
      <c r="AA10" s="126"/>
      <c r="AB10" s="126"/>
      <c r="AC10" s="126"/>
      <c r="AD10" s="126"/>
      <c r="AE10" s="127"/>
    </row>
    <row r="11" spans="1:32" x14ac:dyDescent="0.2">
      <c r="A11" s="38"/>
      <c r="B11" s="68" t="s">
        <v>42</v>
      </c>
      <c r="C11" s="68" t="s">
        <v>760</v>
      </c>
      <c r="D11" s="68" t="s">
        <v>47</v>
      </c>
      <c r="E11" s="68" t="s">
        <v>48</v>
      </c>
      <c r="F11" s="68" t="s">
        <v>771</v>
      </c>
      <c r="G11" s="80" t="s">
        <v>43</v>
      </c>
      <c r="H11" s="103" t="s">
        <v>25</v>
      </c>
      <c r="I11" s="103" t="s">
        <v>28</v>
      </c>
      <c r="J11" s="103" t="s">
        <v>27</v>
      </c>
      <c r="K11" s="103" t="s">
        <v>26</v>
      </c>
      <c r="L11" s="103" t="s">
        <v>25</v>
      </c>
      <c r="M11" s="103" t="s">
        <v>28</v>
      </c>
      <c r="N11" s="103" t="s">
        <v>27</v>
      </c>
      <c r="O11" s="103" t="s">
        <v>26</v>
      </c>
      <c r="P11" s="68" t="s">
        <v>52</v>
      </c>
      <c r="Q11" s="38" t="s">
        <v>60</v>
      </c>
      <c r="R11" s="38" t="s">
        <v>62</v>
      </c>
      <c r="S11" s="38" t="s">
        <v>59</v>
      </c>
      <c r="T11" s="38" t="s">
        <v>63</v>
      </c>
      <c r="U11" s="38" t="s">
        <v>49</v>
      </c>
      <c r="V11" s="38" t="s">
        <v>50</v>
      </c>
      <c r="W11" s="38" t="s">
        <v>51</v>
      </c>
      <c r="X11" s="68" t="s">
        <v>52</v>
      </c>
      <c r="Y11" s="38" t="s">
        <v>60</v>
      </c>
      <c r="Z11" s="38" t="s">
        <v>62</v>
      </c>
      <c r="AA11" s="38" t="s">
        <v>59</v>
      </c>
      <c r="AB11" s="38" t="s">
        <v>63</v>
      </c>
      <c r="AC11" s="38" t="s">
        <v>49</v>
      </c>
      <c r="AD11" s="38" t="s">
        <v>50</v>
      </c>
      <c r="AE11" s="38" t="s">
        <v>51</v>
      </c>
      <c r="AF11" s="38" t="s">
        <v>53</v>
      </c>
    </row>
    <row r="12" spans="1:32" ht="22.5" x14ac:dyDescent="0.2">
      <c r="A12" s="38" t="s">
        <v>240</v>
      </c>
      <c r="B12" s="56" t="s">
        <v>625</v>
      </c>
      <c r="C12" s="56">
        <v>10</v>
      </c>
      <c r="D12" s="56" t="s">
        <v>716</v>
      </c>
      <c r="E12" s="81" t="s">
        <v>717</v>
      </c>
      <c r="F12" s="81" t="s">
        <v>772</v>
      </c>
      <c r="G12" s="103" t="s">
        <v>425</v>
      </c>
      <c r="H12" s="73"/>
      <c r="I12" s="73"/>
      <c r="J12" s="73"/>
      <c r="K12" s="73"/>
      <c r="L12" s="73"/>
      <c r="M12" s="73"/>
      <c r="N12" s="73"/>
      <c r="O12" s="82"/>
      <c r="P12" s="68">
        <f t="shared" ref="P12:P17" si="0">Q12+R12+S12+T12+U12+V12+W12</f>
        <v>12913.8</v>
      </c>
      <c r="Q12" s="38">
        <v>100</v>
      </c>
      <c r="S12" s="38">
        <v>5905.8</v>
      </c>
      <c r="T12" s="38"/>
      <c r="U12" s="38">
        <v>4700</v>
      </c>
      <c r="V12" s="38"/>
      <c r="W12" s="38">
        <v>2208</v>
      </c>
      <c r="X12" s="68">
        <f>Y12+Z12+AA12+AB12+AC12+AD12+AE12</f>
        <v>13219.8</v>
      </c>
      <c r="Y12" s="38">
        <v>106</v>
      </c>
      <c r="Z12" s="38"/>
      <c r="AA12" s="38">
        <v>5905.8</v>
      </c>
      <c r="AB12" s="38"/>
      <c r="AC12" s="38">
        <v>5000</v>
      </c>
      <c r="AD12" s="38"/>
      <c r="AE12" s="38">
        <v>2208</v>
      </c>
      <c r="AF12" s="38"/>
    </row>
    <row r="13" spans="1:32" x14ac:dyDescent="0.2">
      <c r="A13" s="38" t="s">
        <v>241</v>
      </c>
      <c r="B13" s="56" t="s">
        <v>626</v>
      </c>
      <c r="C13" s="56">
        <v>1</v>
      </c>
      <c r="D13" s="56"/>
      <c r="E13" s="69"/>
      <c r="F13" s="69" t="s">
        <v>652</v>
      </c>
      <c r="G13" s="103" t="s">
        <v>425</v>
      </c>
      <c r="H13" s="83"/>
      <c r="I13" s="83"/>
      <c r="J13" s="73"/>
      <c r="K13" s="73"/>
      <c r="L13" s="73"/>
      <c r="M13" s="73"/>
      <c r="N13" s="73"/>
      <c r="O13" s="73"/>
      <c r="P13" s="68">
        <f t="shared" si="0"/>
        <v>0</v>
      </c>
      <c r="Q13" s="38"/>
      <c r="R13" s="38"/>
      <c r="S13" s="38"/>
      <c r="T13" s="38"/>
      <c r="U13" s="38"/>
      <c r="V13" s="38"/>
      <c r="W13" s="38"/>
      <c r="X13" s="68">
        <f>Y13+Z13+AA13+AB13+AC13+AD13+AE13</f>
        <v>50</v>
      </c>
      <c r="Y13" s="38"/>
      <c r="Z13" s="38"/>
      <c r="AA13" s="38"/>
      <c r="AB13" s="38"/>
      <c r="AC13" s="38"/>
      <c r="AD13" s="38">
        <v>50</v>
      </c>
      <c r="AE13" s="38"/>
      <c r="AF13" s="38"/>
    </row>
    <row r="14" spans="1:32" ht="33.75" x14ac:dyDescent="0.2">
      <c r="A14" s="38" t="s">
        <v>661</v>
      </c>
      <c r="B14" s="56" t="s">
        <v>666</v>
      </c>
      <c r="C14" s="56">
        <v>66</v>
      </c>
      <c r="D14" s="56" t="s">
        <v>762</v>
      </c>
      <c r="E14" s="56" t="s">
        <v>675</v>
      </c>
      <c r="F14" s="56" t="s">
        <v>652</v>
      </c>
      <c r="G14" s="85" t="s">
        <v>667</v>
      </c>
      <c r="H14" s="73"/>
      <c r="I14" s="73"/>
      <c r="J14" s="73"/>
      <c r="K14" s="73"/>
      <c r="L14" s="73"/>
      <c r="M14" s="73"/>
      <c r="N14" s="73"/>
      <c r="O14" s="73"/>
      <c r="P14" s="68">
        <f t="shared" si="0"/>
        <v>200</v>
      </c>
      <c r="Q14" s="38"/>
      <c r="R14" s="38"/>
      <c r="S14" s="38"/>
      <c r="T14" s="38"/>
      <c r="U14" s="38"/>
      <c r="V14" s="38">
        <v>200</v>
      </c>
      <c r="W14" s="38"/>
      <c r="X14" s="68">
        <f>Y14+Z14+AA14+AB14+AC14+AD14+AE14</f>
        <v>200</v>
      </c>
      <c r="Y14" s="38"/>
      <c r="Z14" s="38"/>
      <c r="AA14" s="38"/>
      <c r="AB14" s="38"/>
      <c r="AC14" s="38"/>
      <c r="AD14" s="38">
        <v>200</v>
      </c>
      <c r="AE14" s="38"/>
      <c r="AF14" s="38"/>
    </row>
    <row r="15" spans="1:32" ht="45" x14ac:dyDescent="0.2">
      <c r="A15" s="38" t="s">
        <v>662</v>
      </c>
      <c r="B15" s="56" t="s">
        <v>718</v>
      </c>
      <c r="C15" s="56">
        <v>10</v>
      </c>
      <c r="D15" s="56" t="s">
        <v>759</v>
      </c>
      <c r="E15" s="70" t="s">
        <v>715</v>
      </c>
      <c r="F15" s="70" t="s">
        <v>772</v>
      </c>
      <c r="G15" s="103" t="s">
        <v>627</v>
      </c>
      <c r="H15" s="73"/>
      <c r="I15" s="73"/>
      <c r="J15" s="83"/>
      <c r="K15" s="83"/>
      <c r="L15" s="83"/>
      <c r="M15" s="83"/>
      <c r="N15" s="83"/>
      <c r="O15" s="83"/>
      <c r="P15" s="68">
        <f t="shared" si="0"/>
        <v>1500</v>
      </c>
      <c r="Q15" s="38">
        <v>300</v>
      </c>
      <c r="R15" s="38"/>
      <c r="S15" s="38"/>
      <c r="T15" s="38"/>
      <c r="U15" s="38">
        <v>350</v>
      </c>
      <c r="V15" s="38"/>
      <c r="W15" s="38">
        <v>850</v>
      </c>
      <c r="X15" s="68">
        <f>Y15+Z15+AA15+AB15+AC15+AD15+AE15</f>
        <v>1500</v>
      </c>
      <c r="Y15" s="38">
        <v>600</v>
      </c>
      <c r="Z15" s="38"/>
      <c r="AA15" s="38"/>
      <c r="AB15" s="38"/>
      <c r="AC15" s="38">
        <v>700</v>
      </c>
      <c r="AD15" s="38"/>
      <c r="AE15" s="38">
        <v>200</v>
      </c>
      <c r="AF15" s="38"/>
    </row>
    <row r="16" spans="1:32" x14ac:dyDescent="0.2">
      <c r="A16" s="38" t="s">
        <v>663</v>
      </c>
      <c r="B16" s="56" t="s">
        <v>628</v>
      </c>
      <c r="C16" s="56">
        <v>10</v>
      </c>
      <c r="D16" s="38" t="s">
        <v>273</v>
      </c>
      <c r="E16" s="56">
        <v>11</v>
      </c>
      <c r="F16" s="56" t="s">
        <v>652</v>
      </c>
      <c r="G16" s="103" t="s">
        <v>274</v>
      </c>
      <c r="H16" s="86"/>
      <c r="I16" s="86"/>
      <c r="J16" s="86"/>
      <c r="K16" s="86"/>
      <c r="L16" s="86"/>
      <c r="M16" s="86"/>
      <c r="N16" s="86"/>
      <c r="O16" s="86"/>
      <c r="P16" s="68">
        <f t="shared" si="0"/>
        <v>650</v>
      </c>
      <c r="Q16" s="38">
        <v>300</v>
      </c>
      <c r="R16" s="38"/>
      <c r="S16" s="38"/>
      <c r="T16" s="38"/>
      <c r="U16" s="38">
        <v>350</v>
      </c>
      <c r="V16" s="38"/>
      <c r="W16" s="38"/>
      <c r="X16" s="68">
        <f t="shared" ref="X16:X17" si="1">Y16+Z16+AA16+AB16+AC16+AD16+AE16</f>
        <v>0</v>
      </c>
      <c r="Y16" s="38"/>
      <c r="Z16" s="38"/>
      <c r="AA16" s="38"/>
      <c r="AB16" s="38"/>
      <c r="AC16" s="38"/>
      <c r="AD16" s="38"/>
      <c r="AE16" s="38"/>
      <c r="AF16" s="38"/>
    </row>
    <row r="17" spans="1:32" x14ac:dyDescent="0.2">
      <c r="A17" s="38" t="s">
        <v>664</v>
      </c>
      <c r="B17" s="38" t="s">
        <v>272</v>
      </c>
      <c r="C17" s="38">
        <v>44</v>
      </c>
      <c r="D17" s="87" t="s">
        <v>629</v>
      </c>
      <c r="E17" s="69"/>
      <c r="F17" s="69" t="s">
        <v>652</v>
      </c>
      <c r="G17" s="85" t="s">
        <v>49</v>
      </c>
      <c r="H17" s="86"/>
      <c r="I17" s="86"/>
      <c r="J17" s="86"/>
      <c r="K17" s="86"/>
      <c r="L17" s="86"/>
      <c r="M17" s="86"/>
      <c r="N17" s="86"/>
      <c r="O17" s="86"/>
      <c r="P17" s="68">
        <f t="shared" si="0"/>
        <v>0</v>
      </c>
      <c r="Q17" s="38"/>
      <c r="R17" s="38"/>
      <c r="S17" s="38"/>
      <c r="T17" s="38"/>
      <c r="U17" s="38"/>
      <c r="V17" s="38"/>
      <c r="W17" s="38"/>
      <c r="X17" s="68">
        <f t="shared" si="1"/>
        <v>0</v>
      </c>
      <c r="Y17" s="38"/>
      <c r="Z17" s="38"/>
      <c r="AA17" s="38"/>
      <c r="AB17" s="38"/>
      <c r="AC17" s="38"/>
      <c r="AD17" s="38"/>
      <c r="AE17" s="38"/>
      <c r="AF17" s="38"/>
    </row>
    <row r="18" spans="1:32" x14ac:dyDescent="0.2">
      <c r="G18" s="88"/>
      <c r="O18" s="89" t="s">
        <v>52</v>
      </c>
      <c r="P18" s="90">
        <f t="shared" ref="P18:AE18" si="2">SUM(P12:P17)</f>
        <v>15263.8</v>
      </c>
      <c r="Q18" s="90">
        <f t="shared" si="2"/>
        <v>700</v>
      </c>
      <c r="R18" s="90">
        <f t="shared" si="2"/>
        <v>0</v>
      </c>
      <c r="S18" s="90">
        <f t="shared" si="2"/>
        <v>5905.8</v>
      </c>
      <c r="T18" s="90">
        <f t="shared" si="2"/>
        <v>0</v>
      </c>
      <c r="U18" s="90">
        <f t="shared" si="2"/>
        <v>5400</v>
      </c>
      <c r="V18" s="90">
        <f t="shared" si="2"/>
        <v>200</v>
      </c>
      <c r="W18" s="90">
        <f t="shared" si="2"/>
        <v>3058</v>
      </c>
      <c r="X18" s="90">
        <f t="shared" si="2"/>
        <v>14969.8</v>
      </c>
      <c r="Y18" s="90">
        <f t="shared" si="2"/>
        <v>706</v>
      </c>
      <c r="Z18" s="90">
        <f t="shared" si="2"/>
        <v>0</v>
      </c>
      <c r="AA18" s="90">
        <f t="shared" si="2"/>
        <v>5905.8</v>
      </c>
      <c r="AB18" s="90">
        <f t="shared" si="2"/>
        <v>0</v>
      </c>
      <c r="AC18" s="90">
        <f t="shared" si="2"/>
        <v>5700</v>
      </c>
      <c r="AD18" s="90">
        <f t="shared" si="2"/>
        <v>250</v>
      </c>
      <c r="AE18" s="90">
        <f t="shared" si="2"/>
        <v>2408</v>
      </c>
    </row>
    <row r="19" spans="1:32" x14ac:dyDescent="0.2">
      <c r="A19" s="67">
        <v>1.2</v>
      </c>
      <c r="B19" s="67" t="s">
        <v>246</v>
      </c>
      <c r="C19" s="67"/>
    </row>
    <row r="20" spans="1:32" x14ac:dyDescent="0.2">
      <c r="A20" s="42">
        <v>3</v>
      </c>
      <c r="B20" s="40" t="s">
        <v>247</v>
      </c>
      <c r="C20" s="40"/>
    </row>
    <row r="21" spans="1:32" x14ac:dyDescent="0.2">
      <c r="A21" s="42">
        <v>4</v>
      </c>
      <c r="B21" s="40" t="s">
        <v>248</v>
      </c>
      <c r="C21" s="40"/>
    </row>
    <row r="22" spans="1:32" x14ac:dyDescent="0.2">
      <c r="A22" s="42">
        <v>5</v>
      </c>
      <c r="B22" s="40" t="s">
        <v>249</v>
      </c>
      <c r="C22" s="40"/>
    </row>
    <row r="23" spans="1:32" x14ac:dyDescent="0.2">
      <c r="A23" s="42">
        <v>6</v>
      </c>
      <c r="B23" s="40" t="s">
        <v>250</v>
      </c>
      <c r="C23" s="40"/>
    </row>
    <row r="24" spans="1:32" x14ac:dyDescent="0.2">
      <c r="A24" s="42">
        <v>7</v>
      </c>
      <c r="B24" s="40" t="s">
        <v>254</v>
      </c>
      <c r="C24" s="40"/>
    </row>
    <row r="25" spans="1:32" x14ac:dyDescent="0.2">
      <c r="A25" s="42">
        <v>8</v>
      </c>
      <c r="B25" s="40" t="s">
        <v>255</v>
      </c>
      <c r="C25" s="40"/>
    </row>
    <row r="26" spans="1:32" x14ac:dyDescent="0.2">
      <c r="A26" s="42">
        <v>9</v>
      </c>
      <c r="B26" s="40" t="s">
        <v>256</v>
      </c>
      <c r="C26" s="40"/>
    </row>
    <row r="27" spans="1:32" x14ac:dyDescent="0.2">
      <c r="H27" s="122" t="s">
        <v>58</v>
      </c>
      <c r="I27" s="122"/>
      <c r="J27" s="122"/>
      <c r="K27" s="122"/>
      <c r="L27" s="122"/>
      <c r="M27" s="122"/>
      <c r="N27" s="122"/>
      <c r="O27" s="122"/>
      <c r="P27" s="123" t="s">
        <v>61</v>
      </c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pans="1:32" x14ac:dyDescent="0.2">
      <c r="H28" s="124">
        <v>2019</v>
      </c>
      <c r="I28" s="124"/>
      <c r="J28" s="124"/>
      <c r="K28" s="124"/>
      <c r="L28" s="124">
        <v>2020</v>
      </c>
      <c r="M28" s="124"/>
      <c r="N28" s="124"/>
      <c r="O28" s="124"/>
      <c r="P28" s="124">
        <v>2019</v>
      </c>
      <c r="Q28" s="124"/>
      <c r="R28" s="124"/>
      <c r="S28" s="124"/>
      <c r="T28" s="124"/>
      <c r="U28" s="124"/>
      <c r="V28" s="124"/>
      <c r="W28" s="124"/>
      <c r="X28" s="125">
        <v>2020</v>
      </c>
      <c r="Y28" s="126"/>
      <c r="Z28" s="126"/>
      <c r="AA28" s="126"/>
      <c r="AB28" s="126"/>
      <c r="AC28" s="126"/>
      <c r="AD28" s="126"/>
      <c r="AE28" s="127"/>
    </row>
    <row r="29" spans="1:32" x14ac:dyDescent="0.2">
      <c r="A29" s="38"/>
      <c r="B29" s="68" t="s">
        <v>42</v>
      </c>
      <c r="C29" s="68" t="s">
        <v>760</v>
      </c>
      <c r="D29" s="68" t="s">
        <v>47</v>
      </c>
      <c r="E29" s="68" t="s">
        <v>48</v>
      </c>
      <c r="F29" s="68" t="s">
        <v>771</v>
      </c>
      <c r="G29" s="80" t="s">
        <v>43</v>
      </c>
      <c r="H29" s="103" t="s">
        <v>25</v>
      </c>
      <c r="I29" s="103" t="s">
        <v>28</v>
      </c>
      <c r="J29" s="103" t="s">
        <v>27</v>
      </c>
      <c r="K29" s="103" t="s">
        <v>26</v>
      </c>
      <c r="L29" s="103" t="s">
        <v>25</v>
      </c>
      <c r="M29" s="103" t="s">
        <v>28</v>
      </c>
      <c r="N29" s="103" t="s">
        <v>27</v>
      </c>
      <c r="O29" s="103" t="s">
        <v>26</v>
      </c>
      <c r="P29" s="68" t="s">
        <v>52</v>
      </c>
      <c r="Q29" s="38" t="s">
        <v>60</v>
      </c>
      <c r="R29" s="38" t="s">
        <v>62</v>
      </c>
      <c r="S29" s="38" t="s">
        <v>59</v>
      </c>
      <c r="T29" s="38" t="s">
        <v>63</v>
      </c>
      <c r="U29" s="38" t="s">
        <v>49</v>
      </c>
      <c r="V29" s="38" t="s">
        <v>50</v>
      </c>
      <c r="W29" s="38" t="s">
        <v>51</v>
      </c>
      <c r="X29" s="68" t="s">
        <v>52</v>
      </c>
      <c r="Y29" s="38" t="s">
        <v>60</v>
      </c>
      <c r="Z29" s="38" t="s">
        <v>62</v>
      </c>
      <c r="AA29" s="38" t="s">
        <v>59</v>
      </c>
      <c r="AB29" s="38" t="s">
        <v>63</v>
      </c>
      <c r="AC29" s="38" t="s">
        <v>49</v>
      </c>
      <c r="AD29" s="38" t="s">
        <v>50</v>
      </c>
      <c r="AE29" s="38" t="s">
        <v>51</v>
      </c>
      <c r="AF29" s="38" t="s">
        <v>53</v>
      </c>
    </row>
    <row r="30" spans="1:32" x14ac:dyDescent="0.2">
      <c r="A30" s="38" t="s">
        <v>265</v>
      </c>
      <c r="B30" s="56" t="s">
        <v>349</v>
      </c>
      <c r="C30" s="56">
        <v>3</v>
      </c>
      <c r="D30" s="38"/>
      <c r="E30" s="70" t="s">
        <v>682</v>
      </c>
      <c r="F30" s="70" t="s">
        <v>772</v>
      </c>
      <c r="G30" s="103" t="s">
        <v>251</v>
      </c>
      <c r="H30" s="73"/>
      <c r="I30" s="73"/>
      <c r="J30" s="83"/>
      <c r="K30" s="83"/>
      <c r="L30" s="83"/>
      <c r="M30" s="83"/>
      <c r="N30" s="83"/>
      <c r="O30" s="83"/>
      <c r="P30" s="68">
        <f>Q30+R30+S30+T30+U30+V30+W30</f>
        <v>600</v>
      </c>
      <c r="Q30" s="38">
        <v>600</v>
      </c>
      <c r="R30" s="38"/>
      <c r="S30" s="38"/>
      <c r="T30" s="38"/>
      <c r="U30" s="38"/>
      <c r="V30" s="38"/>
      <c r="W30" s="38"/>
      <c r="X30" s="68">
        <f>Y30+Z30+AA30+AB30+AC30+AD30+AE30</f>
        <v>0</v>
      </c>
      <c r="Y30" s="38"/>
      <c r="Z30" s="38"/>
      <c r="AA30" s="38"/>
      <c r="AB30" s="38"/>
      <c r="AC30" s="38"/>
      <c r="AD30" s="38"/>
      <c r="AE30" s="38"/>
      <c r="AF30" s="38"/>
    </row>
    <row r="31" spans="1:32" ht="22.5" x14ac:dyDescent="0.2">
      <c r="A31" s="38" t="s">
        <v>266</v>
      </c>
      <c r="B31" s="56" t="s">
        <v>350</v>
      </c>
      <c r="C31" s="56">
        <v>5</v>
      </c>
      <c r="D31" s="56"/>
      <c r="E31" s="56" t="s">
        <v>253</v>
      </c>
      <c r="F31" s="56" t="s">
        <v>772</v>
      </c>
      <c r="G31" s="85" t="s">
        <v>252</v>
      </c>
      <c r="H31" s="86"/>
      <c r="I31" s="86"/>
      <c r="J31" s="86"/>
      <c r="K31" s="38"/>
      <c r="L31" s="38"/>
      <c r="M31" s="38"/>
      <c r="N31" s="38"/>
      <c r="O31" s="38"/>
      <c r="P31" s="68">
        <f>Q31+R31+S31+T31+U31+V31+W31</f>
        <v>50</v>
      </c>
      <c r="Q31" s="38"/>
      <c r="R31" s="38"/>
      <c r="S31" s="38"/>
      <c r="T31" s="38"/>
      <c r="U31" s="38"/>
      <c r="V31" s="38">
        <v>50</v>
      </c>
      <c r="W31" s="38"/>
      <c r="X31" s="68">
        <f t="shared" ref="X31:X36" si="3">Y31+Z31+AA31+AB31+AC31+AD31+AE31</f>
        <v>0</v>
      </c>
      <c r="Y31" s="38"/>
      <c r="Z31" s="38"/>
      <c r="AA31" s="38"/>
      <c r="AB31" s="38"/>
      <c r="AC31" s="38"/>
      <c r="AD31" s="38"/>
      <c r="AE31" s="38"/>
      <c r="AF31" s="38"/>
    </row>
    <row r="32" spans="1:32" ht="45" x14ac:dyDescent="0.2">
      <c r="A32" s="38" t="s">
        <v>267</v>
      </c>
      <c r="B32" s="38" t="s">
        <v>778</v>
      </c>
      <c r="C32" s="38">
        <v>6</v>
      </c>
      <c r="D32" s="56" t="s">
        <v>757</v>
      </c>
      <c r="E32" s="69" t="s">
        <v>719</v>
      </c>
      <c r="F32" s="69" t="s">
        <v>773</v>
      </c>
      <c r="G32" s="85" t="s">
        <v>252</v>
      </c>
      <c r="H32" s="73"/>
      <c r="I32" s="73"/>
      <c r="J32" s="73"/>
      <c r="K32" s="73"/>
      <c r="L32" s="73"/>
      <c r="M32" s="73"/>
      <c r="N32" s="73"/>
      <c r="O32" s="73"/>
      <c r="P32" s="68">
        <f t="shared" ref="P32:P36" si="4">Q32+R32+S32+T32+U32+V32+W32</f>
        <v>521216.7</v>
      </c>
      <c r="Q32" s="38"/>
      <c r="S32" s="38">
        <v>389160</v>
      </c>
      <c r="U32" s="38">
        <v>131000</v>
      </c>
      <c r="V32" s="38">
        <v>1000</v>
      </c>
      <c r="W32" s="38">
        <v>56.7</v>
      </c>
      <c r="X32" s="68">
        <f t="shared" si="3"/>
        <v>513266.7</v>
      </c>
      <c r="Y32" s="38">
        <v>600</v>
      </c>
      <c r="Z32" s="38"/>
      <c r="AA32" s="38">
        <f>389160-17500</f>
        <v>371660</v>
      </c>
      <c r="AB32" s="38"/>
      <c r="AC32" s="38">
        <v>139900</v>
      </c>
      <c r="AD32" s="38">
        <v>1050</v>
      </c>
      <c r="AE32" s="38">
        <v>56.7</v>
      </c>
      <c r="AF32" s="38"/>
    </row>
    <row r="33" spans="1:32" ht="33.75" x14ac:dyDescent="0.2">
      <c r="A33" s="38" t="s">
        <v>268</v>
      </c>
      <c r="B33" s="56" t="s">
        <v>779</v>
      </c>
      <c r="C33" s="56">
        <v>8</v>
      </c>
      <c r="D33" s="56" t="s">
        <v>622</v>
      </c>
      <c r="E33" s="56" t="s">
        <v>623</v>
      </c>
      <c r="F33" s="69" t="s">
        <v>773</v>
      </c>
      <c r="G33" s="56" t="s">
        <v>252</v>
      </c>
      <c r="H33" s="73"/>
      <c r="I33" s="73"/>
      <c r="J33" s="73"/>
      <c r="K33" s="73"/>
      <c r="L33" s="73"/>
      <c r="M33" s="73"/>
      <c r="N33" s="73"/>
      <c r="O33" s="73"/>
      <c r="P33" s="68">
        <f t="shared" si="4"/>
        <v>9700</v>
      </c>
      <c r="Q33" s="38"/>
      <c r="S33" s="38"/>
      <c r="U33" s="38">
        <v>8750</v>
      </c>
      <c r="V33" s="38">
        <v>950</v>
      </c>
      <c r="W33" s="38"/>
      <c r="X33" s="68">
        <f t="shared" si="3"/>
        <v>10300</v>
      </c>
      <c r="Y33" s="38"/>
      <c r="Z33" s="38"/>
      <c r="AA33" s="38"/>
      <c r="AB33" s="38"/>
      <c r="AC33" s="38">
        <v>9300</v>
      </c>
      <c r="AD33" s="38">
        <v>1000</v>
      </c>
      <c r="AE33" s="38"/>
      <c r="AF33" s="38"/>
    </row>
    <row r="34" spans="1:32" ht="45" x14ac:dyDescent="0.2">
      <c r="A34" s="38" t="s">
        <v>269</v>
      </c>
      <c r="B34" s="56" t="s">
        <v>777</v>
      </c>
      <c r="C34" s="56">
        <v>8</v>
      </c>
      <c r="D34" s="56" t="s">
        <v>758</v>
      </c>
      <c r="E34" s="56" t="s">
        <v>620</v>
      </c>
      <c r="F34" s="69" t="s">
        <v>773</v>
      </c>
      <c r="G34" s="56" t="s">
        <v>252</v>
      </c>
      <c r="H34" s="73"/>
      <c r="I34" s="73"/>
      <c r="J34" s="73"/>
      <c r="K34" s="73"/>
      <c r="L34" s="73"/>
      <c r="M34" s="73"/>
      <c r="N34" s="73"/>
      <c r="O34" s="73"/>
      <c r="P34" s="68">
        <f t="shared" si="4"/>
        <v>9750</v>
      </c>
      <c r="Q34" s="38"/>
      <c r="S34" s="38"/>
      <c r="U34" s="38">
        <v>8750</v>
      </c>
      <c r="V34" s="38">
        <v>1000</v>
      </c>
      <c r="W34" s="38"/>
      <c r="X34" s="68">
        <f t="shared" si="3"/>
        <v>10300</v>
      </c>
      <c r="Y34" s="38"/>
      <c r="Z34" s="38"/>
      <c r="AA34" s="38"/>
      <c r="AB34" s="38"/>
      <c r="AC34" s="38">
        <v>9300</v>
      </c>
      <c r="AD34" s="38">
        <v>1000</v>
      </c>
      <c r="AE34" s="38"/>
      <c r="AF34" s="38"/>
    </row>
    <row r="35" spans="1:32" ht="22.5" x14ac:dyDescent="0.2">
      <c r="A35" s="38" t="s">
        <v>270</v>
      </c>
      <c r="B35" s="38" t="s">
        <v>780</v>
      </c>
      <c r="C35" s="38">
        <v>49</v>
      </c>
      <c r="D35" s="56" t="s">
        <v>665</v>
      </c>
      <c r="E35" s="69" t="s">
        <v>783</v>
      </c>
      <c r="F35" s="69" t="s">
        <v>773</v>
      </c>
      <c r="G35" s="85" t="s">
        <v>252</v>
      </c>
      <c r="H35" s="73"/>
      <c r="I35" s="73"/>
      <c r="J35" s="73"/>
      <c r="K35" s="73"/>
      <c r="L35" s="73"/>
      <c r="M35" s="73"/>
      <c r="N35" s="73"/>
      <c r="O35" s="73"/>
      <c r="P35" s="68">
        <f t="shared" si="4"/>
        <v>18500</v>
      </c>
      <c r="Q35" s="38"/>
      <c r="R35" s="38"/>
      <c r="S35" s="38"/>
      <c r="T35" s="38"/>
      <c r="U35" s="38">
        <v>17500</v>
      </c>
      <c r="V35" s="38">
        <v>1000</v>
      </c>
      <c r="W35" s="38"/>
      <c r="X35" s="68">
        <f t="shared" si="3"/>
        <v>19600</v>
      </c>
      <c r="Y35" s="38"/>
      <c r="Z35" s="38"/>
      <c r="AA35" s="38"/>
      <c r="AB35" s="38"/>
      <c r="AC35" s="38">
        <v>18600</v>
      </c>
      <c r="AD35" s="38">
        <v>1000</v>
      </c>
      <c r="AE35" s="38"/>
      <c r="AF35" s="38"/>
    </row>
    <row r="36" spans="1:32" ht="22.5" x14ac:dyDescent="0.2">
      <c r="A36" s="38" t="s">
        <v>624</v>
      </c>
      <c r="B36" s="38" t="s">
        <v>781</v>
      </c>
      <c r="C36" s="38">
        <v>9</v>
      </c>
      <c r="D36" s="91" t="s">
        <v>678</v>
      </c>
      <c r="E36" s="91">
        <v>0.75</v>
      </c>
      <c r="F36" s="69" t="s">
        <v>773</v>
      </c>
      <c r="G36" s="85" t="s">
        <v>262</v>
      </c>
      <c r="H36" s="82"/>
      <c r="I36" s="82"/>
      <c r="J36" s="73"/>
      <c r="K36" s="73"/>
      <c r="L36" s="73"/>
      <c r="M36" s="73"/>
      <c r="N36" s="73"/>
      <c r="O36" s="73"/>
      <c r="P36" s="68">
        <f t="shared" si="4"/>
        <v>8700</v>
      </c>
      <c r="Q36" s="38"/>
      <c r="R36" s="38"/>
      <c r="S36" s="38"/>
      <c r="T36" s="38"/>
      <c r="U36" s="38">
        <v>8700</v>
      </c>
      <c r="V36" s="38"/>
      <c r="W36" s="38"/>
      <c r="X36" s="68">
        <f t="shared" si="3"/>
        <v>9300</v>
      </c>
      <c r="Y36" s="38"/>
      <c r="Z36" s="38"/>
      <c r="AA36" s="38"/>
      <c r="AB36" s="38"/>
      <c r="AC36" s="38">
        <v>9300</v>
      </c>
      <c r="AD36" s="38"/>
      <c r="AE36" s="38"/>
      <c r="AF36" s="38"/>
    </row>
    <row r="37" spans="1:32" x14ac:dyDescent="0.2">
      <c r="G37" s="88"/>
      <c r="O37" s="89" t="s">
        <v>52</v>
      </c>
      <c r="P37" s="90">
        <f t="shared" ref="P37:AE37" si="5">SUM(P30:P36)</f>
        <v>568516.69999999995</v>
      </c>
      <c r="Q37" s="90">
        <f t="shared" si="5"/>
        <v>600</v>
      </c>
      <c r="R37" s="90">
        <f t="shared" si="5"/>
        <v>0</v>
      </c>
      <c r="S37" s="90">
        <f t="shared" si="5"/>
        <v>389160</v>
      </c>
      <c r="T37" s="90">
        <f t="shared" si="5"/>
        <v>0</v>
      </c>
      <c r="U37" s="90">
        <f t="shared" si="5"/>
        <v>174700</v>
      </c>
      <c r="V37" s="90">
        <f t="shared" si="5"/>
        <v>4000</v>
      </c>
      <c r="W37" s="90">
        <f t="shared" si="5"/>
        <v>56.7</v>
      </c>
      <c r="X37" s="90">
        <f t="shared" si="5"/>
        <v>562766.69999999995</v>
      </c>
      <c r="Y37" s="90">
        <f t="shared" si="5"/>
        <v>600</v>
      </c>
      <c r="Z37" s="90">
        <f t="shared" si="5"/>
        <v>0</v>
      </c>
      <c r="AA37" s="90">
        <f t="shared" si="5"/>
        <v>371660</v>
      </c>
      <c r="AB37" s="90">
        <f t="shared" si="5"/>
        <v>0</v>
      </c>
      <c r="AC37" s="90">
        <f t="shared" si="5"/>
        <v>186400</v>
      </c>
      <c r="AD37" s="90">
        <f t="shared" si="5"/>
        <v>4050</v>
      </c>
      <c r="AE37" s="90">
        <f t="shared" si="5"/>
        <v>56.7</v>
      </c>
    </row>
    <row r="38" spans="1:32" x14ac:dyDescent="0.2">
      <c r="A38" s="67">
        <v>1.4</v>
      </c>
      <c r="B38" s="67" t="s">
        <v>275</v>
      </c>
      <c r="C38" s="67"/>
    </row>
    <row r="39" spans="1:32" x14ac:dyDescent="0.2">
      <c r="A39" s="42">
        <v>11</v>
      </c>
      <c r="B39" s="40" t="s">
        <v>276</v>
      </c>
      <c r="C39" s="40"/>
    </row>
    <row r="40" spans="1:32" x14ac:dyDescent="0.2">
      <c r="A40" s="42">
        <v>12</v>
      </c>
      <c r="B40" s="40" t="s">
        <v>277</v>
      </c>
      <c r="C40" s="40"/>
    </row>
    <row r="41" spans="1:32" x14ac:dyDescent="0.2">
      <c r="A41" s="42">
        <v>13</v>
      </c>
      <c r="B41" s="40" t="s">
        <v>278</v>
      </c>
      <c r="C41" s="40"/>
    </row>
    <row r="42" spans="1:32" x14ac:dyDescent="0.2">
      <c r="A42" s="42">
        <v>14</v>
      </c>
      <c r="B42" s="40" t="s">
        <v>279</v>
      </c>
      <c r="C42" s="40"/>
    </row>
    <row r="43" spans="1:32" ht="12.75" x14ac:dyDescent="0.2">
      <c r="B43" s="92"/>
      <c r="C43" s="92"/>
    </row>
    <row r="44" spans="1:32" x14ac:dyDescent="0.2">
      <c r="B44" s="40"/>
      <c r="C44" s="40"/>
      <c r="H44" s="122" t="s">
        <v>58</v>
      </c>
      <c r="I44" s="122"/>
      <c r="J44" s="122"/>
      <c r="K44" s="122"/>
      <c r="L44" s="122"/>
      <c r="M44" s="122"/>
      <c r="N44" s="122"/>
      <c r="O44" s="122"/>
      <c r="P44" s="123" t="s">
        <v>61</v>
      </c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</row>
    <row r="45" spans="1:32" x14ac:dyDescent="0.2">
      <c r="H45" s="124">
        <v>2019</v>
      </c>
      <c r="I45" s="124"/>
      <c r="J45" s="124"/>
      <c r="K45" s="124"/>
      <c r="L45" s="124">
        <v>2020</v>
      </c>
      <c r="M45" s="124"/>
      <c r="N45" s="124"/>
      <c r="O45" s="124"/>
      <c r="P45" s="124">
        <v>2019</v>
      </c>
      <c r="Q45" s="124"/>
      <c r="R45" s="124"/>
      <c r="S45" s="124"/>
      <c r="T45" s="124"/>
      <c r="U45" s="124"/>
      <c r="V45" s="124"/>
      <c r="W45" s="124"/>
      <c r="X45" s="125">
        <v>2020</v>
      </c>
      <c r="Y45" s="126"/>
      <c r="Z45" s="126"/>
      <c r="AA45" s="126"/>
      <c r="AB45" s="126"/>
      <c r="AC45" s="126"/>
      <c r="AD45" s="126"/>
      <c r="AE45" s="127"/>
    </row>
    <row r="46" spans="1:32" x14ac:dyDescent="0.2">
      <c r="A46" s="38"/>
      <c r="B46" s="68" t="s">
        <v>42</v>
      </c>
      <c r="C46" s="68" t="s">
        <v>760</v>
      </c>
      <c r="D46" s="68" t="s">
        <v>47</v>
      </c>
      <c r="E46" s="68" t="s">
        <v>48</v>
      </c>
      <c r="F46" s="68" t="s">
        <v>774</v>
      </c>
      <c r="G46" s="80" t="s">
        <v>43</v>
      </c>
      <c r="H46" s="103" t="s">
        <v>25</v>
      </c>
      <c r="I46" s="103" t="s">
        <v>28</v>
      </c>
      <c r="J46" s="103" t="s">
        <v>27</v>
      </c>
      <c r="K46" s="103" t="s">
        <v>26</v>
      </c>
      <c r="L46" s="103" t="s">
        <v>25</v>
      </c>
      <c r="M46" s="103" t="s">
        <v>28</v>
      </c>
      <c r="N46" s="103" t="s">
        <v>27</v>
      </c>
      <c r="O46" s="103" t="s">
        <v>26</v>
      </c>
      <c r="P46" s="68" t="s">
        <v>52</v>
      </c>
      <c r="Q46" s="38" t="s">
        <v>60</v>
      </c>
      <c r="R46" s="38" t="s">
        <v>62</v>
      </c>
      <c r="S46" s="38" t="s">
        <v>59</v>
      </c>
      <c r="T46" s="38" t="s">
        <v>63</v>
      </c>
      <c r="U46" s="38" t="s">
        <v>49</v>
      </c>
      <c r="V46" s="38" t="s">
        <v>50</v>
      </c>
      <c r="W46" s="38" t="s">
        <v>51</v>
      </c>
      <c r="X46" s="68" t="s">
        <v>52</v>
      </c>
      <c r="Y46" s="38" t="s">
        <v>60</v>
      </c>
      <c r="Z46" s="38" t="s">
        <v>62</v>
      </c>
      <c r="AA46" s="38" t="s">
        <v>59</v>
      </c>
      <c r="AB46" s="38" t="s">
        <v>63</v>
      </c>
      <c r="AC46" s="38" t="s">
        <v>49</v>
      </c>
      <c r="AD46" s="38" t="s">
        <v>50</v>
      </c>
      <c r="AE46" s="38" t="s">
        <v>51</v>
      </c>
      <c r="AF46" s="38" t="s">
        <v>53</v>
      </c>
    </row>
    <row r="47" spans="1:32" ht="22.5" x14ac:dyDescent="0.2">
      <c r="A47" s="38" t="s">
        <v>280</v>
      </c>
      <c r="B47" s="56" t="s">
        <v>679</v>
      </c>
      <c r="C47" s="56">
        <v>11</v>
      </c>
      <c r="D47" s="74" t="s">
        <v>680</v>
      </c>
      <c r="E47" s="70"/>
      <c r="F47" s="70" t="s">
        <v>772</v>
      </c>
      <c r="G47" s="103" t="s">
        <v>292</v>
      </c>
      <c r="H47" s="86"/>
      <c r="I47" s="86"/>
      <c r="J47" s="86"/>
      <c r="K47" s="86"/>
      <c r="L47" s="86"/>
      <c r="M47" s="86"/>
      <c r="N47" s="86"/>
      <c r="O47" s="86"/>
      <c r="P47" s="38">
        <f>SUM(Q47:W47)</f>
        <v>1477.1000000000001</v>
      </c>
      <c r="Q47" s="38">
        <v>1435.2</v>
      </c>
      <c r="R47" s="38"/>
      <c r="S47" s="38"/>
      <c r="T47" s="38"/>
      <c r="U47" s="38"/>
      <c r="V47" s="38"/>
      <c r="W47" s="38">
        <v>41.9</v>
      </c>
      <c r="X47" s="38">
        <f>SUM(Y47:AE47)</f>
        <v>183</v>
      </c>
      <c r="Y47" s="38">
        <v>141.1</v>
      </c>
      <c r="Z47" s="38"/>
      <c r="AA47" s="38"/>
      <c r="AB47" s="38"/>
      <c r="AC47" s="38"/>
      <c r="AD47" s="38"/>
      <c r="AE47" s="38">
        <v>41.9</v>
      </c>
      <c r="AF47" s="38"/>
    </row>
    <row r="48" spans="1:32" x14ac:dyDescent="0.2">
      <c r="A48" s="38" t="s">
        <v>283</v>
      </c>
      <c r="B48" s="38" t="s">
        <v>286</v>
      </c>
      <c r="C48" s="38">
        <v>12</v>
      </c>
      <c r="D48" s="56"/>
      <c r="E48" s="69"/>
      <c r="F48" s="69" t="s">
        <v>772</v>
      </c>
      <c r="G48" s="85" t="s">
        <v>244</v>
      </c>
      <c r="H48" s="86"/>
      <c r="I48" s="86"/>
      <c r="J48" s="86"/>
      <c r="K48" s="86"/>
      <c r="L48" s="82"/>
      <c r="M48" s="82"/>
      <c r="N48" s="82"/>
      <c r="O48" s="82"/>
      <c r="P48" s="38">
        <f t="shared" ref="P48:P50" si="6">SUM(Q48:W48)</f>
        <v>0</v>
      </c>
      <c r="Q48" s="38"/>
      <c r="R48" s="38"/>
      <c r="S48" s="38"/>
      <c r="T48" s="38"/>
      <c r="U48" s="38"/>
      <c r="V48" s="38"/>
      <c r="W48" s="38"/>
      <c r="X48" s="38">
        <f t="shared" ref="X48:X50" si="7">SUM(Y48:AE48)</f>
        <v>100</v>
      </c>
      <c r="Y48" s="38"/>
      <c r="Z48" s="38"/>
      <c r="AA48" s="38"/>
      <c r="AB48" s="38"/>
      <c r="AC48" s="38"/>
      <c r="AD48" s="38">
        <v>100</v>
      </c>
      <c r="AE48" s="38"/>
      <c r="AF48" s="38"/>
    </row>
    <row r="49" spans="1:32" ht="22.5" x14ac:dyDescent="0.2">
      <c r="A49" s="38" t="s">
        <v>284</v>
      </c>
      <c r="B49" s="38" t="s">
        <v>287</v>
      </c>
      <c r="C49" s="38">
        <v>12</v>
      </c>
      <c r="D49" s="38" t="s">
        <v>291</v>
      </c>
      <c r="E49" s="56" t="s">
        <v>744</v>
      </c>
      <c r="F49" s="56" t="s">
        <v>772</v>
      </c>
      <c r="G49" s="103" t="s">
        <v>244</v>
      </c>
      <c r="H49" s="38"/>
      <c r="I49" s="38"/>
      <c r="J49" s="86"/>
      <c r="K49" s="86"/>
      <c r="L49" s="86"/>
      <c r="M49" s="86"/>
      <c r="N49" s="86"/>
      <c r="O49" s="82"/>
      <c r="P49" s="38">
        <f t="shared" si="6"/>
        <v>0</v>
      </c>
      <c r="Q49" s="38"/>
      <c r="R49" s="38"/>
      <c r="S49" s="38"/>
      <c r="T49" s="38"/>
      <c r="U49" s="38"/>
      <c r="V49" s="38"/>
      <c r="W49" s="38"/>
      <c r="X49" s="38">
        <f t="shared" si="7"/>
        <v>100</v>
      </c>
      <c r="Y49" s="38"/>
      <c r="Z49" s="38"/>
      <c r="AA49" s="38"/>
      <c r="AB49" s="38"/>
      <c r="AC49" s="38"/>
      <c r="AD49" s="38">
        <v>100</v>
      </c>
      <c r="AE49" s="38"/>
      <c r="AF49" s="38"/>
    </row>
    <row r="50" spans="1:32" ht="45" x14ac:dyDescent="0.2">
      <c r="A50" s="38" t="s">
        <v>301</v>
      </c>
      <c r="B50" s="56" t="s">
        <v>302</v>
      </c>
      <c r="C50" s="56">
        <v>13</v>
      </c>
      <c r="D50" s="38"/>
      <c r="E50" s="38"/>
      <c r="F50" s="38" t="s">
        <v>652</v>
      </c>
      <c r="G50" s="103" t="s">
        <v>300</v>
      </c>
      <c r="H50" s="86"/>
      <c r="I50" s="86"/>
      <c r="J50" s="86"/>
      <c r="K50" s="86"/>
      <c r="L50" s="86"/>
      <c r="M50" s="86"/>
      <c r="N50" s="86"/>
      <c r="O50" s="86"/>
      <c r="P50" s="38">
        <f t="shared" si="6"/>
        <v>315.04021854606162</v>
      </c>
      <c r="Q50" s="38"/>
      <c r="R50" s="38"/>
      <c r="S50" s="38"/>
      <c r="T50" s="38"/>
      <c r="U50" s="38"/>
      <c r="V50" s="38">
        <v>315.04021854606162</v>
      </c>
      <c r="W50" s="38"/>
      <c r="X50" s="38">
        <f t="shared" si="7"/>
        <v>125.7</v>
      </c>
      <c r="Y50" s="38"/>
      <c r="Z50" s="38"/>
      <c r="AA50" s="38"/>
      <c r="AB50" s="38"/>
      <c r="AC50" s="38"/>
      <c r="AD50" s="38">
        <v>125.7</v>
      </c>
      <c r="AE50" s="38"/>
      <c r="AF50" s="38"/>
    </row>
    <row r="51" spans="1:32" x14ac:dyDescent="0.2">
      <c r="A51" s="38" t="s">
        <v>630</v>
      </c>
      <c r="B51" s="38" t="s">
        <v>684</v>
      </c>
      <c r="C51" s="38">
        <v>31</v>
      </c>
      <c r="D51" s="74" t="s">
        <v>685</v>
      </c>
      <c r="E51" s="38"/>
      <c r="F51" s="38" t="s">
        <v>772</v>
      </c>
      <c r="G51" s="103" t="s">
        <v>45</v>
      </c>
      <c r="H51" s="86"/>
      <c r="I51" s="86"/>
      <c r="J51" s="86"/>
      <c r="K51" s="86"/>
      <c r="L51" s="86"/>
      <c r="M51" s="86"/>
      <c r="N51" s="86"/>
      <c r="O51" s="86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97"/>
    </row>
    <row r="52" spans="1:32" x14ac:dyDescent="0.2">
      <c r="P52" s="38">
        <f t="shared" ref="P52:AE52" si="8">SUM(P47:P51)</f>
        <v>1792.1402185460618</v>
      </c>
      <c r="Q52" s="38">
        <f t="shared" si="8"/>
        <v>1435.2</v>
      </c>
      <c r="R52" s="38">
        <f t="shared" si="8"/>
        <v>0</v>
      </c>
      <c r="S52" s="38">
        <f t="shared" si="8"/>
        <v>0</v>
      </c>
      <c r="T52" s="38">
        <f t="shared" si="8"/>
        <v>0</v>
      </c>
      <c r="U52" s="38">
        <f t="shared" si="8"/>
        <v>0</v>
      </c>
      <c r="V52" s="38">
        <f t="shared" si="8"/>
        <v>315.04021854606162</v>
      </c>
      <c r="W52" s="38">
        <f t="shared" si="8"/>
        <v>41.9</v>
      </c>
      <c r="X52" s="38">
        <f t="shared" si="8"/>
        <v>508.7</v>
      </c>
      <c r="Y52" s="38">
        <f t="shared" si="8"/>
        <v>141.1</v>
      </c>
      <c r="Z52" s="38">
        <f t="shared" si="8"/>
        <v>0</v>
      </c>
      <c r="AA52" s="38">
        <f t="shared" si="8"/>
        <v>0</v>
      </c>
      <c r="AB52" s="38">
        <f t="shared" si="8"/>
        <v>0</v>
      </c>
      <c r="AC52" s="38">
        <f t="shared" si="8"/>
        <v>0</v>
      </c>
      <c r="AD52" s="38">
        <f t="shared" si="8"/>
        <v>325.7</v>
      </c>
      <c r="AE52" s="38">
        <f t="shared" si="8"/>
        <v>41.9</v>
      </c>
    </row>
    <row r="56" spans="1:32" x14ac:dyDescent="0.2">
      <c r="N56" s="42" t="s">
        <v>534</v>
      </c>
      <c r="P56" s="42" t="str">
        <f>P46</f>
        <v>Total</v>
      </c>
      <c r="Q56" s="42" t="str">
        <f t="shared" ref="Q56:AE56" si="9">Q46</f>
        <v>Recurr.</v>
      </c>
      <c r="R56" s="42" t="str">
        <f t="shared" si="9"/>
        <v>Dev.</v>
      </c>
      <c r="S56" s="42" t="str">
        <f t="shared" si="9"/>
        <v>Prov.</v>
      </c>
      <c r="T56" s="42" t="str">
        <f t="shared" si="9"/>
        <v>Dept</v>
      </c>
      <c r="U56" s="42" t="str">
        <f t="shared" si="9"/>
        <v>TFF</v>
      </c>
      <c r="V56" s="42" t="str">
        <f t="shared" si="9"/>
        <v>DP</v>
      </c>
      <c r="W56" s="42" t="str">
        <f t="shared" si="9"/>
        <v>Gap</v>
      </c>
      <c r="X56" s="42" t="str">
        <f t="shared" si="9"/>
        <v>Total</v>
      </c>
      <c r="Y56" s="42" t="str">
        <f t="shared" si="9"/>
        <v>Recurr.</v>
      </c>
      <c r="Z56" s="42" t="str">
        <f t="shared" si="9"/>
        <v>Dev.</v>
      </c>
      <c r="AA56" s="42" t="str">
        <f t="shared" si="9"/>
        <v>Prov.</v>
      </c>
      <c r="AB56" s="42" t="str">
        <f t="shared" si="9"/>
        <v>Dept</v>
      </c>
      <c r="AC56" s="42" t="str">
        <f t="shared" si="9"/>
        <v>TFF</v>
      </c>
      <c r="AD56" s="42" t="str">
        <f t="shared" si="9"/>
        <v>DP</v>
      </c>
      <c r="AE56" s="42" t="str">
        <f t="shared" si="9"/>
        <v>Gap</v>
      </c>
    </row>
    <row r="57" spans="1:32" x14ac:dyDescent="0.2">
      <c r="P57" s="42">
        <f t="shared" ref="P57:AE57" si="10">P52+P37+P18</f>
        <v>585572.64021854603</v>
      </c>
      <c r="Q57" s="42">
        <f t="shared" si="10"/>
        <v>2735.2</v>
      </c>
      <c r="R57" s="42">
        <f t="shared" si="10"/>
        <v>0</v>
      </c>
      <c r="S57" s="42">
        <f t="shared" si="10"/>
        <v>395065.8</v>
      </c>
      <c r="T57" s="42">
        <f t="shared" si="10"/>
        <v>0</v>
      </c>
      <c r="U57" s="42">
        <f t="shared" si="10"/>
        <v>180100</v>
      </c>
      <c r="V57" s="42">
        <f t="shared" si="10"/>
        <v>4515.0402185460616</v>
      </c>
      <c r="W57" s="42">
        <f t="shared" si="10"/>
        <v>3156.6</v>
      </c>
      <c r="X57" s="42">
        <f t="shared" si="10"/>
        <v>578245.19999999995</v>
      </c>
      <c r="Y57" s="42">
        <f t="shared" si="10"/>
        <v>1447.1</v>
      </c>
      <c r="Z57" s="42">
        <f t="shared" si="10"/>
        <v>0</v>
      </c>
      <c r="AA57" s="42">
        <f t="shared" si="10"/>
        <v>377565.8</v>
      </c>
      <c r="AB57" s="42">
        <f t="shared" si="10"/>
        <v>0</v>
      </c>
      <c r="AC57" s="42">
        <f t="shared" si="10"/>
        <v>192100</v>
      </c>
      <c r="AD57" s="42">
        <f t="shared" si="10"/>
        <v>4625.7</v>
      </c>
      <c r="AE57" s="42">
        <f t="shared" si="10"/>
        <v>2506.6</v>
      </c>
    </row>
    <row r="61" spans="1:32" x14ac:dyDescent="0.2">
      <c r="B61" s="42" t="s">
        <v>720</v>
      </c>
    </row>
    <row r="62" spans="1:32" x14ac:dyDescent="0.2">
      <c r="H62" s="122" t="s">
        <v>58</v>
      </c>
      <c r="I62" s="122"/>
      <c r="J62" s="122"/>
      <c r="K62" s="122"/>
      <c r="L62" s="122"/>
      <c r="M62" s="122"/>
      <c r="N62" s="122"/>
      <c r="O62" s="122"/>
      <c r="P62" s="123" t="s">
        <v>61</v>
      </c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</row>
    <row r="63" spans="1:32" x14ac:dyDescent="0.2">
      <c r="A63" s="38"/>
      <c r="B63" s="68" t="s">
        <v>42</v>
      </c>
      <c r="C63" s="68" t="s">
        <v>760</v>
      </c>
      <c r="D63" s="68" t="s">
        <v>47</v>
      </c>
      <c r="E63" s="68" t="s">
        <v>48</v>
      </c>
      <c r="F63" s="68" t="s">
        <v>774</v>
      </c>
      <c r="G63" s="80" t="s">
        <v>43</v>
      </c>
      <c r="H63" s="124">
        <v>2019</v>
      </c>
      <c r="I63" s="124"/>
      <c r="J63" s="124"/>
      <c r="K63" s="124"/>
      <c r="L63" s="124">
        <v>2020</v>
      </c>
      <c r="M63" s="124"/>
      <c r="N63" s="124"/>
      <c r="O63" s="124"/>
      <c r="P63" s="124">
        <v>2019</v>
      </c>
      <c r="Q63" s="124"/>
      <c r="R63" s="124"/>
      <c r="S63" s="124"/>
      <c r="T63" s="124"/>
      <c r="U63" s="124"/>
      <c r="V63" s="124"/>
      <c r="W63" s="124"/>
      <c r="X63" s="125">
        <v>2020</v>
      </c>
      <c r="Y63" s="126"/>
      <c r="Z63" s="126"/>
      <c r="AA63" s="126"/>
      <c r="AB63" s="126"/>
      <c r="AC63" s="126"/>
      <c r="AD63" s="126"/>
      <c r="AE63" s="127"/>
    </row>
    <row r="64" spans="1:32" ht="22.5" x14ac:dyDescent="0.2">
      <c r="A64" s="38" t="s">
        <v>271</v>
      </c>
      <c r="B64" s="56" t="s">
        <v>258</v>
      </c>
      <c r="C64" s="56"/>
      <c r="D64" s="87" t="s">
        <v>636</v>
      </c>
      <c r="E64" s="69"/>
      <c r="G64" s="85" t="s">
        <v>409</v>
      </c>
      <c r="H64" s="83"/>
      <c r="I64" s="83"/>
      <c r="J64" s="83"/>
      <c r="K64" s="73"/>
      <c r="L64" s="73"/>
      <c r="M64" s="73"/>
      <c r="N64" s="73"/>
      <c r="O64" s="73"/>
      <c r="P64" s="68">
        <f>Q64+R64+S64+T64+U64+V64+W64</f>
        <v>0</v>
      </c>
      <c r="Q64" s="38"/>
      <c r="R64" s="38"/>
      <c r="S64" s="38"/>
      <c r="T64" s="38"/>
      <c r="U64" s="38"/>
      <c r="V64" s="38"/>
      <c r="W64" s="38"/>
      <c r="X64" s="68">
        <f t="shared" ref="X64:X65" si="11">Y64+Z64+AA64+AB64+AC64+AD64+AE64</f>
        <v>0</v>
      </c>
      <c r="Y64" s="38"/>
      <c r="Z64" s="38"/>
      <c r="AA64" s="38"/>
      <c r="AB64" s="38"/>
      <c r="AC64" s="38"/>
      <c r="AD64" s="38"/>
      <c r="AE64" s="38"/>
      <c r="AF64" s="42" t="s">
        <v>723</v>
      </c>
    </row>
    <row r="65" spans="1:32" x14ac:dyDescent="0.2">
      <c r="A65" s="38" t="s">
        <v>621</v>
      </c>
      <c r="B65" s="38" t="s">
        <v>260</v>
      </c>
      <c r="C65" s="38"/>
      <c r="D65" s="56"/>
      <c r="E65" s="69" t="s">
        <v>261</v>
      </c>
      <c r="F65" s="69"/>
      <c r="G65" s="85" t="s">
        <v>257</v>
      </c>
      <c r="H65" s="38"/>
      <c r="I65" s="38"/>
      <c r="J65" s="86"/>
      <c r="K65" s="86"/>
      <c r="L65" s="38"/>
      <c r="M65" s="38"/>
      <c r="N65" s="82"/>
      <c r="O65" s="38"/>
      <c r="P65" s="68">
        <f t="shared" ref="P65" si="12">Q65+R65+S65+T65+U65+V65+W65</f>
        <v>0</v>
      </c>
      <c r="Q65" s="38"/>
      <c r="R65" s="38"/>
      <c r="S65" s="38"/>
      <c r="T65" s="38"/>
      <c r="U65" s="38"/>
      <c r="V65" s="38"/>
      <c r="W65" s="38"/>
      <c r="X65" s="68">
        <f t="shared" si="11"/>
        <v>0</v>
      </c>
      <c r="Y65" s="38"/>
      <c r="Z65" s="38"/>
      <c r="AA65" s="38"/>
      <c r="AB65" s="38"/>
      <c r="AC65" s="38"/>
      <c r="AD65" s="38"/>
      <c r="AE65" s="38"/>
      <c r="AF65" s="38" t="s">
        <v>721</v>
      </c>
    </row>
    <row r="66" spans="1:32" x14ac:dyDescent="0.2">
      <c r="A66" s="38" t="s">
        <v>281</v>
      </c>
      <c r="B66" s="56" t="s">
        <v>285</v>
      </c>
      <c r="C66" s="56"/>
      <c r="D66" s="38"/>
      <c r="E66" s="56" t="s">
        <v>288</v>
      </c>
      <c r="F66" s="56"/>
      <c r="G66" s="103" t="s">
        <v>292</v>
      </c>
      <c r="H66" s="82"/>
      <c r="I66" s="82"/>
      <c r="J66" s="86"/>
      <c r="K66" s="86"/>
      <c r="L66" s="38"/>
      <c r="M66" s="38"/>
      <c r="N66" s="38"/>
      <c r="O66" s="38"/>
      <c r="P66" s="38">
        <f t="shared" ref="P66:P68" si="13">SUM(Q66:W66)</f>
        <v>0</v>
      </c>
      <c r="Q66" s="38"/>
      <c r="R66" s="38"/>
      <c r="S66" s="38"/>
      <c r="T66" s="38"/>
      <c r="U66" s="38"/>
      <c r="V66" s="38"/>
      <c r="W66" s="38"/>
      <c r="X66" s="38">
        <f t="shared" ref="X66:X68" si="14">SUM(Y66:AE66)</f>
        <v>0</v>
      </c>
      <c r="Y66" s="38"/>
      <c r="Z66" s="38"/>
      <c r="AA66" s="38"/>
      <c r="AB66" s="38"/>
      <c r="AC66" s="38"/>
      <c r="AD66" s="38"/>
      <c r="AE66" s="38"/>
      <c r="AF66" s="38" t="s">
        <v>721</v>
      </c>
    </row>
    <row r="67" spans="1:32" ht="22.5" x14ac:dyDescent="0.2">
      <c r="A67" s="38" t="s">
        <v>282</v>
      </c>
      <c r="B67" s="56" t="s">
        <v>681</v>
      </c>
      <c r="C67" s="56"/>
      <c r="D67" s="38" t="s">
        <v>289</v>
      </c>
      <c r="E67" s="38" t="s">
        <v>290</v>
      </c>
      <c r="F67" s="38"/>
      <c r="G67" s="103" t="s">
        <v>292</v>
      </c>
      <c r="H67" s="38"/>
      <c r="I67" s="38"/>
      <c r="J67" s="86"/>
      <c r="K67" s="86"/>
      <c r="L67" s="86"/>
      <c r="M67" s="86"/>
      <c r="N67" s="86"/>
      <c r="O67" s="86"/>
      <c r="P67" s="38">
        <f t="shared" si="13"/>
        <v>0</v>
      </c>
      <c r="Q67" s="38"/>
      <c r="R67" s="38"/>
      <c r="S67" s="38"/>
      <c r="T67" s="38"/>
      <c r="U67" s="38"/>
      <c r="V67" s="38"/>
      <c r="W67" s="38"/>
      <c r="X67" s="38">
        <f t="shared" si="14"/>
        <v>0</v>
      </c>
      <c r="Y67" s="38"/>
      <c r="Z67" s="38"/>
      <c r="AA67" s="38"/>
      <c r="AB67" s="38"/>
      <c r="AC67" s="38"/>
      <c r="AD67" s="38"/>
      <c r="AE67" s="38"/>
      <c r="AF67" s="38" t="s">
        <v>722</v>
      </c>
    </row>
    <row r="68" spans="1:32" ht="22.5" x14ac:dyDescent="0.2">
      <c r="A68" s="93" t="s">
        <v>293</v>
      </c>
      <c r="B68" s="66" t="s">
        <v>295</v>
      </c>
      <c r="C68" s="66"/>
      <c r="D68" s="94" t="s">
        <v>683</v>
      </c>
      <c r="E68" s="93"/>
      <c r="F68" s="93"/>
      <c r="G68" s="95" t="s">
        <v>294</v>
      </c>
      <c r="H68" s="96"/>
      <c r="I68" s="96"/>
      <c r="J68" s="96"/>
      <c r="K68" s="96"/>
      <c r="L68" s="96"/>
      <c r="M68" s="96"/>
      <c r="N68" s="96"/>
      <c r="O68" s="96"/>
      <c r="P68" s="38">
        <f t="shared" si="13"/>
        <v>0</v>
      </c>
      <c r="Q68" s="93"/>
      <c r="R68" s="93"/>
      <c r="S68" s="93"/>
      <c r="T68" s="93"/>
      <c r="U68" s="93"/>
      <c r="V68" s="93"/>
      <c r="X68" s="38">
        <f t="shared" si="14"/>
        <v>0</v>
      </c>
      <c r="AF68" s="42" t="s">
        <v>723</v>
      </c>
    </row>
  </sheetData>
  <mergeCells count="24">
    <mergeCell ref="H9:O9"/>
    <mergeCell ref="P9:AE9"/>
    <mergeCell ref="H10:K10"/>
    <mergeCell ref="L10:O10"/>
    <mergeCell ref="P10:W10"/>
    <mergeCell ref="X10:AE10"/>
    <mergeCell ref="H27:O27"/>
    <mergeCell ref="P27:AE27"/>
    <mergeCell ref="H28:K28"/>
    <mergeCell ref="L28:O28"/>
    <mergeCell ref="P28:W28"/>
    <mergeCell ref="X28:AE28"/>
    <mergeCell ref="H44:O44"/>
    <mergeCell ref="P44:AE44"/>
    <mergeCell ref="H45:K45"/>
    <mergeCell ref="L45:O45"/>
    <mergeCell ref="P45:W45"/>
    <mergeCell ref="X45:AE45"/>
    <mergeCell ref="H62:O62"/>
    <mergeCell ref="P62:AE62"/>
    <mergeCell ref="H63:K63"/>
    <mergeCell ref="L63:O63"/>
    <mergeCell ref="P63:W63"/>
    <mergeCell ref="X63:AE6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60"/>
  <sheetViews>
    <sheetView zoomScale="115" zoomScaleNormal="115" workbookViewId="0">
      <selection activeCell="F7" sqref="F7"/>
    </sheetView>
  </sheetViews>
  <sheetFormatPr defaultColWidth="8.85546875" defaultRowHeight="11.25" x14ac:dyDescent="0.2"/>
  <cols>
    <col min="1" max="1" width="3.85546875" style="42" customWidth="1"/>
    <col min="2" max="2" width="34.85546875" style="42" customWidth="1"/>
    <col min="3" max="3" width="7.85546875" style="42" customWidth="1"/>
    <col min="4" max="4" width="25.42578125" style="42" customWidth="1"/>
    <col min="5" max="5" width="20.85546875" style="42" customWidth="1"/>
    <col min="6" max="6" width="7.42578125" style="42" customWidth="1"/>
    <col min="7" max="7" width="8.5703125" style="79" customWidth="1"/>
    <col min="8" max="15" width="3.140625" style="42" customWidth="1"/>
    <col min="16" max="31" width="4.140625" style="42" customWidth="1"/>
    <col min="32" max="32" width="29.42578125" style="42" customWidth="1"/>
    <col min="33" max="16384" width="8.85546875" style="42"/>
  </cols>
  <sheetData>
    <row r="1" spans="1:32" ht="12.75" thickBot="1" x14ac:dyDescent="0.25">
      <c r="A1" s="76">
        <v>2</v>
      </c>
      <c r="B1" s="77" t="s">
        <v>40</v>
      </c>
      <c r="C1" s="77"/>
      <c r="D1" s="78" t="s">
        <v>36</v>
      </c>
    </row>
    <row r="2" spans="1:32" x14ac:dyDescent="0.2">
      <c r="A2" s="67">
        <v>2.1</v>
      </c>
      <c r="B2" s="67" t="s">
        <v>46</v>
      </c>
      <c r="C2" s="67"/>
    </row>
    <row r="3" spans="1:32" x14ac:dyDescent="0.2">
      <c r="A3" s="42">
        <v>15</v>
      </c>
      <c r="B3" s="40" t="s">
        <v>41</v>
      </c>
      <c r="C3" s="40"/>
    </row>
    <row r="4" spans="1:32" x14ac:dyDescent="0.2">
      <c r="A4" s="42">
        <v>68</v>
      </c>
      <c r="B4" s="40" t="s">
        <v>122</v>
      </c>
      <c r="C4" s="40"/>
    </row>
    <row r="5" spans="1:32" x14ac:dyDescent="0.2">
      <c r="A5" s="42">
        <v>67</v>
      </c>
      <c r="B5" s="40" t="s">
        <v>140</v>
      </c>
      <c r="C5" s="40"/>
    </row>
    <row r="6" spans="1:32" x14ac:dyDescent="0.2">
      <c r="H6" s="122" t="s">
        <v>58</v>
      </c>
      <c r="I6" s="122"/>
      <c r="J6" s="122"/>
      <c r="K6" s="122"/>
      <c r="L6" s="122"/>
      <c r="M6" s="122"/>
      <c r="N6" s="122"/>
      <c r="O6" s="122"/>
      <c r="P6" s="123" t="s">
        <v>61</v>
      </c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</row>
    <row r="7" spans="1:32" ht="12" customHeight="1" x14ac:dyDescent="0.2">
      <c r="H7" s="124">
        <v>2019</v>
      </c>
      <c r="I7" s="124"/>
      <c r="J7" s="124"/>
      <c r="K7" s="124"/>
      <c r="L7" s="124">
        <v>2020</v>
      </c>
      <c r="M7" s="124"/>
      <c r="N7" s="124"/>
      <c r="O7" s="124"/>
      <c r="P7" s="124">
        <v>2019</v>
      </c>
      <c r="Q7" s="124"/>
      <c r="R7" s="124"/>
      <c r="S7" s="124"/>
      <c r="T7" s="124"/>
      <c r="U7" s="124"/>
      <c r="V7" s="124"/>
      <c r="W7" s="124"/>
      <c r="X7" s="125">
        <v>2020</v>
      </c>
      <c r="Y7" s="126"/>
      <c r="Z7" s="126"/>
      <c r="AA7" s="126"/>
      <c r="AB7" s="126"/>
      <c r="AC7" s="126"/>
      <c r="AD7" s="126"/>
      <c r="AE7" s="127"/>
    </row>
    <row r="8" spans="1:32" x14ac:dyDescent="0.2">
      <c r="A8" s="38"/>
      <c r="B8" s="68" t="s">
        <v>42</v>
      </c>
      <c r="C8" s="68" t="s">
        <v>760</v>
      </c>
      <c r="D8" s="68" t="s">
        <v>47</v>
      </c>
      <c r="E8" s="68" t="s">
        <v>48</v>
      </c>
      <c r="F8" s="68" t="s">
        <v>771</v>
      </c>
      <c r="G8" s="80" t="s">
        <v>43</v>
      </c>
      <c r="H8" s="103" t="s">
        <v>25</v>
      </c>
      <c r="I8" s="103" t="s">
        <v>28</v>
      </c>
      <c r="J8" s="103" t="s">
        <v>27</v>
      </c>
      <c r="K8" s="103" t="s">
        <v>26</v>
      </c>
      <c r="L8" s="103" t="s">
        <v>25</v>
      </c>
      <c r="M8" s="103" t="s">
        <v>28</v>
      </c>
      <c r="N8" s="103" t="s">
        <v>27</v>
      </c>
      <c r="O8" s="103" t="s">
        <v>26</v>
      </c>
      <c r="P8" s="68" t="s">
        <v>52</v>
      </c>
      <c r="Q8" s="38" t="s">
        <v>60</v>
      </c>
      <c r="R8" s="38" t="s">
        <v>62</v>
      </c>
      <c r="S8" s="38" t="s">
        <v>59</v>
      </c>
      <c r="T8" s="38" t="s">
        <v>63</v>
      </c>
      <c r="U8" s="38" t="s">
        <v>49</v>
      </c>
      <c r="V8" s="38" t="s">
        <v>50</v>
      </c>
      <c r="W8" s="38" t="s">
        <v>51</v>
      </c>
      <c r="X8" s="68" t="s">
        <v>52</v>
      </c>
      <c r="Y8" s="38" t="s">
        <v>60</v>
      </c>
      <c r="Z8" s="38" t="s">
        <v>62</v>
      </c>
      <c r="AA8" s="38" t="s">
        <v>59</v>
      </c>
      <c r="AB8" s="38" t="s">
        <v>63</v>
      </c>
      <c r="AC8" s="38" t="s">
        <v>49</v>
      </c>
      <c r="AD8" s="38" t="s">
        <v>50</v>
      </c>
      <c r="AE8" s="38" t="s">
        <v>51</v>
      </c>
      <c r="AF8" s="38" t="s">
        <v>53</v>
      </c>
    </row>
    <row r="9" spans="1:32" ht="35.450000000000003" customHeight="1" x14ac:dyDescent="0.2">
      <c r="A9" s="38" t="s">
        <v>54</v>
      </c>
      <c r="B9" s="56" t="s">
        <v>782</v>
      </c>
      <c r="C9" s="56">
        <v>15</v>
      </c>
      <c r="D9" s="38" t="s">
        <v>85</v>
      </c>
      <c r="E9" s="70" t="s">
        <v>686</v>
      </c>
      <c r="F9" s="70" t="s">
        <v>772</v>
      </c>
      <c r="G9" s="103" t="s">
        <v>45</v>
      </c>
      <c r="H9" s="73"/>
      <c r="I9" s="73"/>
      <c r="J9" s="73"/>
      <c r="K9" s="73"/>
      <c r="L9" s="73"/>
      <c r="M9" s="73"/>
      <c r="N9" s="73"/>
      <c r="O9" s="73"/>
      <c r="P9" s="68">
        <f>SUM(Q9:W9)</f>
        <v>17623.400000000001</v>
      </c>
      <c r="Q9" s="38">
        <f>8620.4-Q17</f>
        <v>415.39999999999964</v>
      </c>
      <c r="R9" s="42">
        <v>15000</v>
      </c>
      <c r="S9" s="38"/>
      <c r="T9" s="38"/>
      <c r="U9" s="38"/>
      <c r="V9" s="38"/>
      <c r="W9" s="38">
        <v>2208</v>
      </c>
      <c r="X9" s="68">
        <f>SUM(Y9:AE9)</f>
        <v>17914.599999999999</v>
      </c>
      <c r="Y9" s="38">
        <f>8911.6-Y17</f>
        <v>706.60000000000036</v>
      </c>
      <c r="Z9" s="38">
        <v>15000</v>
      </c>
      <c r="AA9" s="38"/>
      <c r="AB9" s="38"/>
      <c r="AC9" s="38"/>
      <c r="AD9" s="38"/>
      <c r="AE9" s="38">
        <v>2208</v>
      </c>
      <c r="AF9" s="38"/>
    </row>
    <row r="10" spans="1:32" ht="42.6" customHeight="1" x14ac:dyDescent="0.2">
      <c r="A10" s="38" t="s">
        <v>55</v>
      </c>
      <c r="B10" s="56" t="s">
        <v>106</v>
      </c>
      <c r="C10" s="56">
        <v>16</v>
      </c>
      <c r="D10" s="56" t="s">
        <v>695</v>
      </c>
      <c r="E10" s="84" t="s">
        <v>784</v>
      </c>
      <c r="F10" s="70" t="s">
        <v>772</v>
      </c>
      <c r="G10" s="103" t="s">
        <v>100</v>
      </c>
      <c r="H10" s="83"/>
      <c r="I10" s="83"/>
      <c r="J10" s="73"/>
      <c r="K10" s="73"/>
      <c r="L10" s="73"/>
      <c r="M10" s="73"/>
      <c r="N10" s="73"/>
      <c r="O10" s="73"/>
      <c r="P10" s="68">
        <f t="shared" ref="P10:P19" si="0">SUM(Q10:W10)</f>
        <v>1050</v>
      </c>
      <c r="Q10" s="38"/>
      <c r="R10" s="38"/>
      <c r="S10" s="38"/>
      <c r="T10" s="38"/>
      <c r="U10" s="38"/>
      <c r="V10" s="38">
        <v>1050</v>
      </c>
      <c r="W10" s="38"/>
      <c r="X10" s="68">
        <f t="shared" ref="X10:X19" si="1">SUM(Y10:AE10)</f>
        <v>1100</v>
      </c>
      <c r="Y10" s="38"/>
      <c r="Z10" s="38" t="s">
        <v>245</v>
      </c>
      <c r="AA10" s="38"/>
      <c r="AB10" s="38"/>
      <c r="AC10" s="38"/>
      <c r="AD10" s="38">
        <v>1100</v>
      </c>
      <c r="AE10" s="38"/>
      <c r="AF10" s="38" t="s">
        <v>107</v>
      </c>
    </row>
    <row r="11" spans="1:32" ht="33.75" x14ac:dyDescent="0.2">
      <c r="A11" s="38" t="s">
        <v>56</v>
      </c>
      <c r="B11" s="56" t="s">
        <v>64</v>
      </c>
      <c r="C11" s="56">
        <v>15</v>
      </c>
      <c r="D11" s="38" t="s">
        <v>85</v>
      </c>
      <c r="E11" s="56" t="s">
        <v>687</v>
      </c>
      <c r="F11" s="70" t="s">
        <v>772</v>
      </c>
      <c r="G11" s="103" t="s">
        <v>45</v>
      </c>
      <c r="H11" s="73"/>
      <c r="I11" s="73"/>
      <c r="J11" s="73"/>
      <c r="K11" s="73"/>
      <c r="L11" s="73"/>
      <c r="M11" s="73"/>
      <c r="N11" s="73"/>
      <c r="O11" s="73"/>
      <c r="P11" s="68">
        <f t="shared" si="0"/>
        <v>594.49999999999977</v>
      </c>
      <c r="Q11" s="38">
        <f>5122.8-Q18</f>
        <v>178.69999999999982</v>
      </c>
      <c r="R11" s="38"/>
      <c r="S11" s="38"/>
      <c r="T11" s="38"/>
      <c r="U11" s="38"/>
      <c r="V11" s="38"/>
      <c r="W11" s="38">
        <v>415.8</v>
      </c>
      <c r="X11" s="68">
        <f t="shared" si="1"/>
        <v>767.49999999999977</v>
      </c>
      <c r="Y11" s="38">
        <f>5295.8-Y18</f>
        <v>351.69999999999982</v>
      </c>
      <c r="Z11" s="38"/>
      <c r="AA11" s="38"/>
      <c r="AB11" s="38"/>
      <c r="AC11" s="38"/>
      <c r="AD11" s="38"/>
      <c r="AE11" s="38">
        <v>415.8</v>
      </c>
      <c r="AF11" s="38"/>
    </row>
    <row r="12" spans="1:32" ht="22.5" x14ac:dyDescent="0.2">
      <c r="A12" s="38" t="s">
        <v>57</v>
      </c>
      <c r="B12" s="38" t="s">
        <v>65</v>
      </c>
      <c r="C12" s="38">
        <v>15</v>
      </c>
      <c r="D12" s="38" t="s">
        <v>85</v>
      </c>
      <c r="E12" s="56" t="s">
        <v>67</v>
      </c>
      <c r="F12" s="70" t="s">
        <v>772</v>
      </c>
      <c r="G12" s="103" t="s">
        <v>66</v>
      </c>
      <c r="H12" s="73"/>
      <c r="I12" s="73"/>
      <c r="J12" s="73"/>
      <c r="K12" s="73"/>
      <c r="L12" s="73"/>
      <c r="M12" s="73"/>
      <c r="N12" s="73"/>
      <c r="O12" s="73"/>
      <c r="P12" s="68">
        <f t="shared" si="0"/>
        <v>1000</v>
      </c>
      <c r="Q12" s="38"/>
      <c r="R12" s="38"/>
      <c r="S12" s="38"/>
      <c r="T12" s="38"/>
      <c r="U12" s="38"/>
      <c r="V12" s="38">
        <v>1000</v>
      </c>
      <c r="W12" s="38"/>
      <c r="X12" s="68">
        <f t="shared" si="1"/>
        <v>0</v>
      </c>
      <c r="AF12" s="38"/>
    </row>
    <row r="13" spans="1:32" x14ac:dyDescent="0.2">
      <c r="A13" s="38" t="s">
        <v>69</v>
      </c>
      <c r="B13" s="38" t="s">
        <v>126</v>
      </c>
      <c r="C13" s="38">
        <v>15</v>
      </c>
      <c r="D13" s="38" t="s">
        <v>85</v>
      </c>
      <c r="E13" s="38" t="s">
        <v>150</v>
      </c>
      <c r="F13" s="70" t="s">
        <v>772</v>
      </c>
      <c r="G13" s="103" t="s">
        <v>71</v>
      </c>
      <c r="H13" s="38"/>
      <c r="I13" s="38"/>
      <c r="J13" s="73"/>
      <c r="K13" s="73"/>
      <c r="L13" s="73"/>
      <c r="M13" s="73"/>
      <c r="N13" s="73"/>
      <c r="O13" s="73"/>
      <c r="P13" s="68">
        <f t="shared" si="0"/>
        <v>1370</v>
      </c>
      <c r="Q13" s="38"/>
      <c r="R13" s="38"/>
      <c r="S13" s="38"/>
      <c r="T13" s="38"/>
      <c r="U13" s="38"/>
      <c r="V13" s="38">
        <v>1370</v>
      </c>
      <c r="W13" s="38"/>
      <c r="X13" s="68">
        <f t="shared" si="1"/>
        <v>690</v>
      </c>
      <c r="Y13" s="38"/>
      <c r="Z13" s="38"/>
      <c r="AA13" s="38"/>
      <c r="AB13" s="38"/>
      <c r="AC13" s="38"/>
      <c r="AD13" s="38">
        <v>690</v>
      </c>
      <c r="AE13" s="38"/>
      <c r="AF13" s="38" t="s">
        <v>236</v>
      </c>
    </row>
    <row r="14" spans="1:32" x14ac:dyDescent="0.2">
      <c r="A14" s="38" t="s">
        <v>83</v>
      </c>
      <c r="B14" s="38" t="s">
        <v>73</v>
      </c>
      <c r="C14" s="38">
        <v>16</v>
      </c>
      <c r="D14" s="38"/>
      <c r="E14" s="38" t="s">
        <v>44</v>
      </c>
      <c r="F14" s="70" t="s">
        <v>772</v>
      </c>
      <c r="G14" s="103" t="s">
        <v>45</v>
      </c>
      <c r="H14" s="83"/>
      <c r="I14" s="38"/>
      <c r="J14" s="38"/>
      <c r="K14" s="38"/>
      <c r="L14" s="73"/>
      <c r="M14" s="73"/>
      <c r="N14" s="38"/>
      <c r="O14" s="38"/>
      <c r="P14" s="68">
        <f t="shared" si="0"/>
        <v>30</v>
      </c>
      <c r="Q14" s="38"/>
      <c r="R14" s="38"/>
      <c r="S14" s="38"/>
      <c r="T14" s="38"/>
      <c r="U14" s="38"/>
      <c r="V14" s="38">
        <v>30</v>
      </c>
      <c r="W14" s="38"/>
      <c r="X14" s="68">
        <f t="shared" si="1"/>
        <v>0</v>
      </c>
      <c r="Y14" s="38"/>
      <c r="Z14" s="38"/>
      <c r="AA14" s="38"/>
      <c r="AB14" s="38"/>
      <c r="AC14" s="38"/>
      <c r="AD14" s="38"/>
      <c r="AE14" s="38"/>
      <c r="AF14" s="38"/>
    </row>
    <row r="15" spans="1:32" x14ac:dyDescent="0.2">
      <c r="A15" s="38" t="s">
        <v>108</v>
      </c>
      <c r="B15" s="38" t="s">
        <v>141</v>
      </c>
      <c r="C15" s="38">
        <v>67</v>
      </c>
      <c r="D15" s="38"/>
      <c r="E15" s="38" t="s">
        <v>151</v>
      </c>
      <c r="F15" s="70" t="s">
        <v>772</v>
      </c>
      <c r="G15" s="103" t="s">
        <v>142</v>
      </c>
      <c r="H15" s="73"/>
      <c r="I15" s="73"/>
      <c r="J15" s="38"/>
      <c r="K15" s="38"/>
      <c r="L15" s="83"/>
      <c r="M15" s="83"/>
      <c r="N15" s="38"/>
      <c r="O15" s="38"/>
      <c r="P15" s="68">
        <f t="shared" si="0"/>
        <v>50</v>
      </c>
      <c r="Q15" s="38"/>
      <c r="R15" s="38"/>
      <c r="S15" s="38"/>
      <c r="T15" s="38"/>
      <c r="U15" s="38"/>
      <c r="V15" s="38">
        <v>50</v>
      </c>
      <c r="W15" s="38"/>
      <c r="X15" s="68">
        <f t="shared" si="1"/>
        <v>0</v>
      </c>
      <c r="Y15" s="38"/>
      <c r="Z15" s="38"/>
      <c r="AA15" s="38"/>
      <c r="AB15" s="38"/>
      <c r="AC15" s="38"/>
      <c r="AD15" s="38"/>
      <c r="AE15" s="38"/>
      <c r="AF15" s="38"/>
    </row>
    <row r="16" spans="1:32" x14ac:dyDescent="0.2">
      <c r="A16" s="38" t="s">
        <v>123</v>
      </c>
      <c r="B16" s="38" t="s">
        <v>84</v>
      </c>
      <c r="C16" s="38">
        <v>67</v>
      </c>
      <c r="D16" s="38" t="s">
        <v>152</v>
      </c>
      <c r="E16" s="38" t="s">
        <v>153</v>
      </c>
      <c r="F16" s="70" t="s">
        <v>772</v>
      </c>
      <c r="G16" s="103" t="s">
        <v>143</v>
      </c>
      <c r="H16" s="73"/>
      <c r="I16" s="73"/>
      <c r="J16" s="73"/>
      <c r="K16" s="73"/>
      <c r="L16" s="73"/>
      <c r="M16" s="73"/>
      <c r="N16" s="73"/>
      <c r="O16" s="73"/>
      <c r="P16" s="68">
        <f t="shared" si="0"/>
        <v>220</v>
      </c>
      <c r="Q16" s="38"/>
      <c r="R16" s="38"/>
      <c r="S16" s="38"/>
      <c r="T16" s="38"/>
      <c r="U16" s="38"/>
      <c r="V16" s="38">
        <v>220</v>
      </c>
      <c r="W16" s="38"/>
      <c r="X16" s="68">
        <f t="shared" si="1"/>
        <v>0</v>
      </c>
      <c r="Y16" s="38"/>
      <c r="Z16" s="38"/>
      <c r="AA16" s="38"/>
      <c r="AB16" s="38"/>
      <c r="AC16" s="38"/>
      <c r="AD16" s="38"/>
      <c r="AE16" s="38"/>
      <c r="AF16" s="38" t="s">
        <v>105</v>
      </c>
    </row>
    <row r="17" spans="1:32" x14ac:dyDescent="0.2">
      <c r="A17" s="38" t="s">
        <v>510</v>
      </c>
      <c r="B17" s="38" t="s">
        <v>550</v>
      </c>
      <c r="C17" s="38"/>
      <c r="D17" s="38"/>
      <c r="E17" s="38"/>
      <c r="F17" s="38"/>
      <c r="G17" s="103"/>
      <c r="H17" s="73"/>
      <c r="I17" s="73"/>
      <c r="J17" s="73"/>
      <c r="K17" s="73"/>
      <c r="L17" s="73"/>
      <c r="M17" s="73"/>
      <c r="N17" s="73"/>
      <c r="O17" s="73"/>
      <c r="P17" s="68">
        <f t="shared" si="0"/>
        <v>8205</v>
      </c>
      <c r="Q17" s="38">
        <f>7235+970</f>
        <v>8205</v>
      </c>
      <c r="R17" s="38"/>
      <c r="S17" s="38"/>
      <c r="T17" s="38"/>
      <c r="U17" s="38"/>
      <c r="V17" s="38"/>
      <c r="W17" s="38"/>
      <c r="X17" s="68">
        <f t="shared" si="1"/>
        <v>8205</v>
      </c>
      <c r="Y17" s="38">
        <f>7235+970</f>
        <v>8205</v>
      </c>
      <c r="Z17" s="38"/>
      <c r="AA17" s="38"/>
      <c r="AB17" s="38"/>
      <c r="AC17" s="38"/>
      <c r="AD17" s="38"/>
      <c r="AE17" s="38"/>
      <c r="AF17" s="97"/>
    </row>
    <row r="18" spans="1:32" x14ac:dyDescent="0.2">
      <c r="A18" s="38" t="s">
        <v>511</v>
      </c>
      <c r="B18" s="38" t="s">
        <v>552</v>
      </c>
      <c r="C18" s="38"/>
      <c r="D18" s="38"/>
      <c r="E18" s="38"/>
      <c r="F18" s="38"/>
      <c r="G18" s="103"/>
      <c r="H18" s="73"/>
      <c r="I18" s="73"/>
      <c r="J18" s="73"/>
      <c r="K18" s="73"/>
      <c r="L18" s="73"/>
      <c r="M18" s="73"/>
      <c r="N18" s="73"/>
      <c r="O18" s="73"/>
      <c r="P18" s="68">
        <f t="shared" si="0"/>
        <v>4944.1000000000004</v>
      </c>
      <c r="Q18" s="38">
        <f>4777.1+167</f>
        <v>4944.1000000000004</v>
      </c>
      <c r="R18" s="38"/>
      <c r="S18" s="38"/>
      <c r="T18" s="38"/>
      <c r="U18" s="38"/>
      <c r="V18" s="38"/>
      <c r="W18" s="38"/>
      <c r="X18" s="68">
        <f t="shared" si="1"/>
        <v>4944.1000000000004</v>
      </c>
      <c r="Y18" s="38">
        <f>4777.1+167</f>
        <v>4944.1000000000004</v>
      </c>
      <c r="Z18" s="38"/>
      <c r="AA18" s="38"/>
      <c r="AB18" s="38"/>
      <c r="AC18" s="38"/>
      <c r="AD18" s="38"/>
      <c r="AE18" s="38"/>
      <c r="AF18" s="97"/>
    </row>
    <row r="19" spans="1:32" x14ac:dyDescent="0.2">
      <c r="A19" s="38" t="s">
        <v>549</v>
      </c>
      <c r="B19" s="38" t="s">
        <v>509</v>
      </c>
      <c r="C19" s="38"/>
      <c r="D19" s="38"/>
      <c r="E19" s="38"/>
      <c r="F19" s="38"/>
      <c r="G19" s="103"/>
      <c r="H19" s="73"/>
      <c r="I19" s="73"/>
      <c r="J19" s="73"/>
      <c r="K19" s="73"/>
      <c r="L19" s="73"/>
      <c r="M19" s="73"/>
      <c r="N19" s="73"/>
      <c r="O19" s="73"/>
      <c r="P19" s="68">
        <f t="shared" si="0"/>
        <v>0</v>
      </c>
      <c r="Q19" s="38"/>
      <c r="R19" s="38"/>
      <c r="S19" s="38"/>
      <c r="T19" s="38"/>
      <c r="U19" s="38"/>
      <c r="V19" s="38"/>
      <c r="W19" s="38"/>
      <c r="X19" s="68">
        <f t="shared" si="1"/>
        <v>0</v>
      </c>
      <c r="Y19" s="38"/>
      <c r="Z19" s="38"/>
      <c r="AA19" s="38"/>
      <c r="AB19" s="38"/>
      <c r="AC19" s="38"/>
      <c r="AD19" s="38"/>
      <c r="AE19" s="38"/>
      <c r="AF19" s="97"/>
    </row>
    <row r="20" spans="1:32" x14ac:dyDescent="0.2">
      <c r="G20" s="88"/>
      <c r="O20" s="89" t="s">
        <v>52</v>
      </c>
      <c r="P20" s="90">
        <f t="shared" ref="P20:AE20" si="2">SUM(P9:P19)</f>
        <v>35087</v>
      </c>
      <c r="Q20" s="90">
        <f t="shared" si="2"/>
        <v>13743.199999999999</v>
      </c>
      <c r="R20" s="90">
        <f t="shared" si="2"/>
        <v>15000</v>
      </c>
      <c r="S20" s="90">
        <f t="shared" si="2"/>
        <v>0</v>
      </c>
      <c r="T20" s="90">
        <f t="shared" si="2"/>
        <v>0</v>
      </c>
      <c r="U20" s="90">
        <f t="shared" si="2"/>
        <v>0</v>
      </c>
      <c r="V20" s="90">
        <f t="shared" si="2"/>
        <v>3720</v>
      </c>
      <c r="W20" s="90">
        <f t="shared" si="2"/>
        <v>2623.8</v>
      </c>
      <c r="X20" s="90">
        <f t="shared" si="2"/>
        <v>33621.199999999997</v>
      </c>
      <c r="Y20" s="90">
        <f t="shared" si="2"/>
        <v>14207.4</v>
      </c>
      <c r="Z20" s="90">
        <f t="shared" si="2"/>
        <v>15000</v>
      </c>
      <c r="AA20" s="90">
        <f t="shared" si="2"/>
        <v>0</v>
      </c>
      <c r="AB20" s="90">
        <f t="shared" si="2"/>
        <v>0</v>
      </c>
      <c r="AC20" s="90">
        <f t="shared" si="2"/>
        <v>0</v>
      </c>
      <c r="AD20" s="90">
        <f t="shared" si="2"/>
        <v>1790</v>
      </c>
      <c r="AE20" s="90">
        <f t="shared" si="2"/>
        <v>2623.8</v>
      </c>
    </row>
    <row r="21" spans="1:32" x14ac:dyDescent="0.2">
      <c r="A21" s="67">
        <v>2.2000000000000002</v>
      </c>
      <c r="B21" s="67" t="s">
        <v>68</v>
      </c>
      <c r="C21" s="67"/>
    </row>
    <row r="22" spans="1:32" x14ac:dyDescent="0.2">
      <c r="A22" s="42">
        <v>16</v>
      </c>
      <c r="B22" s="40" t="s">
        <v>72</v>
      </c>
      <c r="C22" s="40"/>
      <c r="E22" s="42">
        <v>7735.9</v>
      </c>
      <c r="G22" s="79">
        <v>970</v>
      </c>
    </row>
    <row r="23" spans="1:32" x14ac:dyDescent="0.2">
      <c r="A23" s="42">
        <v>17</v>
      </c>
      <c r="B23" s="40" t="s">
        <v>74</v>
      </c>
      <c r="C23" s="40"/>
      <c r="E23" s="42">
        <v>3610.7</v>
      </c>
      <c r="G23" s="79">
        <v>140</v>
      </c>
    </row>
    <row r="24" spans="1:32" x14ac:dyDescent="0.2">
      <c r="A24" s="42">
        <v>18</v>
      </c>
      <c r="B24" s="40" t="s">
        <v>75</v>
      </c>
      <c r="C24" s="40"/>
      <c r="E24" s="42">
        <v>4777.1000000000004</v>
      </c>
      <c r="G24" s="79">
        <v>167</v>
      </c>
    </row>
    <row r="25" spans="1:32" x14ac:dyDescent="0.2">
      <c r="A25" s="42">
        <v>19</v>
      </c>
      <c r="B25" s="40" t="s">
        <v>76</v>
      </c>
      <c r="C25" s="40"/>
    </row>
    <row r="26" spans="1:32" x14ac:dyDescent="0.2">
      <c r="A26" s="42">
        <v>20</v>
      </c>
      <c r="B26" s="40" t="s">
        <v>77</v>
      </c>
      <c r="C26" s="40"/>
    </row>
    <row r="27" spans="1:32" x14ac:dyDescent="0.2">
      <c r="H27" s="122" t="s">
        <v>58</v>
      </c>
      <c r="I27" s="122"/>
      <c r="J27" s="122"/>
      <c r="K27" s="122"/>
      <c r="L27" s="122"/>
      <c r="M27" s="122"/>
      <c r="N27" s="122"/>
      <c r="O27" s="122"/>
      <c r="P27" s="123" t="s">
        <v>61</v>
      </c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pans="1:32" x14ac:dyDescent="0.2">
      <c r="H28" s="124">
        <v>2019</v>
      </c>
      <c r="I28" s="124"/>
      <c r="J28" s="124"/>
      <c r="K28" s="124"/>
      <c r="L28" s="124">
        <v>2020</v>
      </c>
      <c r="M28" s="124"/>
      <c r="N28" s="124"/>
      <c r="O28" s="124"/>
      <c r="P28" s="124">
        <v>2019</v>
      </c>
      <c r="Q28" s="124"/>
      <c r="R28" s="124"/>
      <c r="S28" s="124"/>
      <c r="T28" s="124"/>
      <c r="U28" s="124"/>
      <c r="V28" s="124"/>
      <c r="W28" s="124"/>
      <c r="X28" s="125">
        <v>2020</v>
      </c>
      <c r="Y28" s="126"/>
      <c r="Z28" s="126"/>
      <c r="AA28" s="126"/>
      <c r="AB28" s="126"/>
      <c r="AC28" s="126"/>
      <c r="AD28" s="126"/>
      <c r="AE28" s="127"/>
    </row>
    <row r="29" spans="1:32" x14ac:dyDescent="0.2">
      <c r="A29" s="38"/>
      <c r="B29" s="68" t="s">
        <v>42</v>
      </c>
      <c r="C29" s="68" t="s">
        <v>760</v>
      </c>
      <c r="D29" s="68" t="s">
        <v>47</v>
      </c>
      <c r="E29" s="68" t="s">
        <v>48</v>
      </c>
      <c r="F29" s="68" t="s">
        <v>771</v>
      </c>
      <c r="G29" s="80" t="s">
        <v>43</v>
      </c>
      <c r="H29" s="103" t="s">
        <v>25</v>
      </c>
      <c r="I29" s="103" t="s">
        <v>28</v>
      </c>
      <c r="J29" s="103" t="s">
        <v>27</v>
      </c>
      <c r="K29" s="103" t="s">
        <v>26</v>
      </c>
      <c r="L29" s="103" t="s">
        <v>25</v>
      </c>
      <c r="M29" s="103" t="s">
        <v>28</v>
      </c>
      <c r="N29" s="103" t="s">
        <v>27</v>
      </c>
      <c r="O29" s="103" t="s">
        <v>26</v>
      </c>
      <c r="P29" s="68" t="s">
        <v>52</v>
      </c>
      <c r="Q29" s="38" t="s">
        <v>60</v>
      </c>
      <c r="R29" s="38" t="s">
        <v>62</v>
      </c>
      <c r="S29" s="38" t="s">
        <v>59</v>
      </c>
      <c r="T29" s="38" t="s">
        <v>63</v>
      </c>
      <c r="U29" s="38" t="s">
        <v>49</v>
      </c>
      <c r="V29" s="38" t="s">
        <v>50</v>
      </c>
      <c r="W29" s="38" t="s">
        <v>51</v>
      </c>
      <c r="X29" s="68" t="s">
        <v>52</v>
      </c>
      <c r="Y29" s="38" t="s">
        <v>60</v>
      </c>
      <c r="Z29" s="38" t="s">
        <v>62</v>
      </c>
      <c r="AA29" s="38" t="s">
        <v>59</v>
      </c>
      <c r="AB29" s="38" t="s">
        <v>63</v>
      </c>
      <c r="AC29" s="38" t="s">
        <v>49</v>
      </c>
      <c r="AD29" s="38" t="s">
        <v>50</v>
      </c>
      <c r="AE29" s="38" t="s">
        <v>51</v>
      </c>
      <c r="AF29" s="38" t="s">
        <v>53</v>
      </c>
    </row>
    <row r="30" spans="1:32" ht="32.450000000000003" customHeight="1" x14ac:dyDescent="0.2">
      <c r="A30" s="38" t="s">
        <v>78</v>
      </c>
      <c r="B30" s="56" t="s">
        <v>129</v>
      </c>
      <c r="C30" s="56">
        <v>16</v>
      </c>
      <c r="D30" s="38"/>
      <c r="E30" s="70" t="s">
        <v>132</v>
      </c>
      <c r="F30" s="70" t="s">
        <v>772</v>
      </c>
      <c r="G30" s="103" t="s">
        <v>45</v>
      </c>
      <c r="H30" s="73"/>
      <c r="I30" s="73"/>
      <c r="J30" s="83"/>
      <c r="K30" s="83"/>
      <c r="L30" s="83"/>
      <c r="M30" s="83"/>
      <c r="N30" s="83"/>
      <c r="O30" s="83"/>
      <c r="P30" s="68">
        <f>SUM(Q30:W30)</f>
        <v>20</v>
      </c>
      <c r="Q30" s="38"/>
      <c r="R30" s="38"/>
      <c r="S30" s="38"/>
      <c r="T30" s="38"/>
      <c r="U30" s="38"/>
      <c r="V30" s="38">
        <v>20</v>
      </c>
      <c r="W30" s="38"/>
      <c r="X30" s="68">
        <f>SUM(Y30:AE30)</f>
        <v>0</v>
      </c>
      <c r="Y30" s="38"/>
      <c r="Z30" s="38"/>
      <c r="AA30" s="38"/>
      <c r="AB30" s="38"/>
      <c r="AC30" s="38"/>
      <c r="AD30" s="38"/>
      <c r="AE30" s="38"/>
      <c r="AF30" s="38"/>
    </row>
    <row r="31" spans="1:32" ht="22.5" x14ac:dyDescent="0.2">
      <c r="A31" s="38" t="s">
        <v>80</v>
      </c>
      <c r="B31" s="38" t="s">
        <v>81</v>
      </c>
      <c r="C31" s="38">
        <v>19</v>
      </c>
      <c r="D31" s="56" t="s">
        <v>139</v>
      </c>
      <c r="E31" s="69">
        <v>0.9</v>
      </c>
      <c r="F31" s="70" t="s">
        <v>772</v>
      </c>
      <c r="G31" s="85" t="s">
        <v>88</v>
      </c>
      <c r="H31" s="73"/>
      <c r="I31" s="73"/>
      <c r="J31" s="73"/>
      <c r="K31" s="73"/>
      <c r="L31" s="73"/>
      <c r="M31" s="73"/>
      <c r="N31" s="73"/>
      <c r="O31" s="73"/>
      <c r="P31" s="68">
        <f t="shared" ref="P31:P38" si="3">SUM(Q31:W31)</f>
        <v>12672.2</v>
      </c>
      <c r="Q31" s="38">
        <v>55</v>
      </c>
      <c r="S31" s="38"/>
      <c r="T31" s="38"/>
      <c r="U31" s="38"/>
      <c r="V31" s="38">
        <v>12100</v>
      </c>
      <c r="W31" s="38">
        <v>517.20000000000005</v>
      </c>
      <c r="X31" s="68">
        <f t="shared" ref="X31:X38" si="4">SUM(Y31:AE31)</f>
        <v>12717.400000000001</v>
      </c>
      <c r="Y31" s="38">
        <v>100.2</v>
      </c>
      <c r="Z31" s="38"/>
      <c r="AA31" s="38"/>
      <c r="AB31" s="38"/>
      <c r="AC31" s="38"/>
      <c r="AD31" s="38">
        <v>12100</v>
      </c>
      <c r="AE31" s="38">
        <v>517.20000000000005</v>
      </c>
      <c r="AF31" s="38" t="s">
        <v>104</v>
      </c>
    </row>
    <row r="32" spans="1:32" ht="22.5" x14ac:dyDescent="0.2">
      <c r="A32" s="38" t="s">
        <v>90</v>
      </c>
      <c r="B32" s="38" t="s">
        <v>82</v>
      </c>
      <c r="C32" s="38">
        <v>19</v>
      </c>
      <c r="D32" s="56" t="s">
        <v>139</v>
      </c>
      <c r="E32" s="69">
        <v>0.9</v>
      </c>
      <c r="F32" s="70" t="s">
        <v>772</v>
      </c>
      <c r="G32" s="85" t="s">
        <v>110</v>
      </c>
      <c r="H32" s="73"/>
      <c r="I32" s="73"/>
      <c r="J32" s="73"/>
      <c r="K32" s="73"/>
      <c r="L32" s="73"/>
      <c r="M32" s="73"/>
      <c r="N32" s="73"/>
      <c r="O32" s="73"/>
      <c r="P32" s="68">
        <f t="shared" si="3"/>
        <v>4155</v>
      </c>
      <c r="Q32" s="38">
        <v>55</v>
      </c>
      <c r="R32" s="38"/>
      <c r="S32" s="38"/>
      <c r="T32" s="38"/>
      <c r="U32" s="38"/>
      <c r="V32" s="38">
        <v>4100</v>
      </c>
      <c r="W32" s="38"/>
      <c r="X32" s="68">
        <f t="shared" si="4"/>
        <v>4199</v>
      </c>
      <c r="Y32" s="38">
        <v>99</v>
      </c>
      <c r="Z32" s="38"/>
      <c r="AA32" s="38"/>
      <c r="AB32" s="38"/>
      <c r="AC32" s="38"/>
      <c r="AD32" s="38">
        <v>4100</v>
      </c>
      <c r="AE32" s="38"/>
      <c r="AF32" s="38"/>
    </row>
    <row r="33" spans="1:32" ht="22.5" x14ac:dyDescent="0.2">
      <c r="A33" s="38" t="s">
        <v>91</v>
      </c>
      <c r="B33" s="38" t="s">
        <v>99</v>
      </c>
      <c r="C33" s="38">
        <v>17</v>
      </c>
      <c r="D33" s="56" t="s">
        <v>139</v>
      </c>
      <c r="E33" s="69">
        <v>0.9</v>
      </c>
      <c r="F33" s="70" t="s">
        <v>772</v>
      </c>
      <c r="G33" s="85" t="s">
        <v>100</v>
      </c>
      <c r="H33" s="83"/>
      <c r="I33" s="83"/>
      <c r="J33" s="83"/>
      <c r="K33" s="73"/>
      <c r="L33" s="73"/>
      <c r="M33" s="73"/>
      <c r="N33" s="73"/>
      <c r="O33" s="73"/>
      <c r="P33" s="68">
        <f t="shared" si="3"/>
        <v>2356</v>
      </c>
      <c r="Q33" s="38">
        <v>56</v>
      </c>
      <c r="R33" s="38"/>
      <c r="S33" s="38"/>
      <c r="T33" s="38"/>
      <c r="U33" s="38"/>
      <c r="V33" s="38">
        <v>2300</v>
      </c>
      <c r="W33" s="38"/>
      <c r="X33" s="68">
        <f t="shared" si="4"/>
        <v>2399</v>
      </c>
      <c r="Y33" s="38">
        <v>99</v>
      </c>
      <c r="Z33" s="38"/>
      <c r="AA33" s="38"/>
      <c r="AB33" s="38"/>
      <c r="AC33" s="38"/>
      <c r="AD33" s="38">
        <v>2300</v>
      </c>
      <c r="AE33" s="38"/>
      <c r="AF33" s="38" t="s">
        <v>96</v>
      </c>
    </row>
    <row r="34" spans="1:32" ht="22.5" x14ac:dyDescent="0.2">
      <c r="A34" s="38" t="s">
        <v>92</v>
      </c>
      <c r="B34" s="38" t="s">
        <v>89</v>
      </c>
      <c r="C34" s="38">
        <v>17</v>
      </c>
      <c r="D34" s="56" t="s">
        <v>139</v>
      </c>
      <c r="E34" s="69">
        <v>0.9</v>
      </c>
      <c r="F34" s="70" t="s">
        <v>652</v>
      </c>
      <c r="G34" s="85" t="s">
        <v>94</v>
      </c>
      <c r="H34" s="38"/>
      <c r="I34" s="38"/>
      <c r="J34" s="73"/>
      <c r="K34" s="38"/>
      <c r="L34" s="38"/>
      <c r="M34" s="38"/>
      <c r="N34" s="73"/>
      <c r="O34" s="38"/>
      <c r="P34" s="68">
        <f t="shared" si="3"/>
        <v>8000</v>
      </c>
      <c r="Q34" s="38"/>
      <c r="R34" s="38"/>
      <c r="S34" s="82">
        <v>8000</v>
      </c>
      <c r="T34" s="38"/>
      <c r="U34" s="38"/>
      <c r="V34" s="38"/>
      <c r="W34" s="38"/>
      <c r="X34" s="68">
        <f t="shared" si="4"/>
        <v>8000</v>
      </c>
      <c r="Y34" s="38"/>
      <c r="Z34" s="38"/>
      <c r="AA34" s="38">
        <v>8000</v>
      </c>
      <c r="AB34" s="38"/>
      <c r="AC34" s="38"/>
      <c r="AD34" s="38"/>
      <c r="AE34" s="38"/>
      <c r="AF34" s="38"/>
    </row>
    <row r="35" spans="1:32" x14ac:dyDescent="0.2">
      <c r="A35" s="38" t="s">
        <v>93</v>
      </c>
      <c r="B35" s="38" t="s">
        <v>101</v>
      </c>
      <c r="C35" s="38">
        <v>18</v>
      </c>
      <c r="D35" s="56"/>
      <c r="E35" s="91"/>
      <c r="F35" s="70" t="s">
        <v>772</v>
      </c>
      <c r="G35" s="85" t="s">
        <v>109</v>
      </c>
      <c r="H35" s="73"/>
      <c r="I35" s="73"/>
      <c r="J35" s="73"/>
      <c r="K35" s="73"/>
      <c r="L35" s="73"/>
      <c r="M35" s="73"/>
      <c r="N35" s="73"/>
      <c r="O35" s="73"/>
      <c r="P35" s="68">
        <f t="shared" si="3"/>
        <v>3831</v>
      </c>
      <c r="Q35" s="38">
        <f>1135-1004</f>
        <v>131</v>
      </c>
      <c r="R35" s="38"/>
      <c r="S35" s="38"/>
      <c r="T35" s="38"/>
      <c r="U35" s="38"/>
      <c r="V35" s="38">
        <v>3700</v>
      </c>
      <c r="W35" s="38"/>
      <c r="X35" s="68">
        <f t="shared" si="4"/>
        <v>3896</v>
      </c>
      <c r="Y35" s="38">
        <f>1200-1004</f>
        <v>196</v>
      </c>
      <c r="Z35" s="38"/>
      <c r="AA35" s="38"/>
      <c r="AB35" s="38"/>
      <c r="AC35" s="38"/>
      <c r="AD35" s="38">
        <v>3700</v>
      </c>
      <c r="AE35" s="38"/>
      <c r="AF35" s="38"/>
    </row>
    <row r="36" spans="1:32" x14ac:dyDescent="0.2">
      <c r="A36" s="38" t="s">
        <v>135</v>
      </c>
      <c r="B36" s="38" t="s">
        <v>134</v>
      </c>
      <c r="C36" s="38">
        <v>20</v>
      </c>
      <c r="D36" s="56"/>
      <c r="E36" s="91"/>
      <c r="F36" s="70" t="s">
        <v>772</v>
      </c>
      <c r="G36" s="85" t="s">
        <v>138</v>
      </c>
      <c r="H36" s="83" t="s">
        <v>153</v>
      </c>
      <c r="I36" s="83"/>
      <c r="J36" s="83"/>
      <c r="K36" s="83"/>
      <c r="L36" s="83"/>
      <c r="M36" s="83"/>
      <c r="N36" s="83"/>
      <c r="O36" s="83"/>
      <c r="P36" s="68">
        <f t="shared" si="3"/>
        <v>384.07499999999999</v>
      </c>
      <c r="Q36" s="38">
        <f>(2154.1-617.8)/4</f>
        <v>384.07499999999999</v>
      </c>
      <c r="R36" s="38"/>
      <c r="S36" s="38"/>
      <c r="T36" s="38"/>
      <c r="U36" s="38"/>
      <c r="V36" s="38"/>
      <c r="W36" s="38"/>
      <c r="X36" s="68">
        <f t="shared" si="4"/>
        <v>412.22499999999997</v>
      </c>
      <c r="Y36" s="38">
        <f>(2337.7-688.8)/4</f>
        <v>412.22499999999997</v>
      </c>
      <c r="Z36" s="38"/>
      <c r="AA36" s="38"/>
      <c r="AB36" s="38"/>
      <c r="AC36" s="38"/>
      <c r="AD36" s="38"/>
      <c r="AE36" s="38"/>
      <c r="AF36" s="38"/>
    </row>
    <row r="37" spans="1:32" ht="29.45" customHeight="1" x14ac:dyDescent="0.2">
      <c r="A37" s="38" t="s">
        <v>136</v>
      </c>
      <c r="B37" s="38" t="s">
        <v>103</v>
      </c>
      <c r="C37" s="38">
        <v>17</v>
      </c>
      <c r="D37" s="56" t="s">
        <v>86</v>
      </c>
      <c r="E37" s="56" t="s">
        <v>87</v>
      </c>
      <c r="F37" s="70" t="s">
        <v>772</v>
      </c>
      <c r="G37" s="103" t="s">
        <v>95</v>
      </c>
      <c r="H37" s="73"/>
      <c r="I37" s="73"/>
      <c r="J37" s="73"/>
      <c r="K37" s="73"/>
      <c r="L37" s="73"/>
      <c r="M37" s="73"/>
      <c r="N37" s="73"/>
      <c r="O37" s="73"/>
      <c r="P37" s="68">
        <f t="shared" si="3"/>
        <v>384.07499999999999</v>
      </c>
      <c r="Q37" s="38">
        <f>(2154.1-617.8)/4</f>
        <v>384.07499999999999</v>
      </c>
      <c r="R37" s="38"/>
      <c r="S37" s="38"/>
      <c r="T37" s="38"/>
      <c r="U37" s="38"/>
      <c r="V37" s="38"/>
      <c r="W37" s="38"/>
      <c r="X37" s="68">
        <f t="shared" si="4"/>
        <v>412.22499999999997</v>
      </c>
      <c r="Y37" s="38">
        <f>(2337.7-688.8)/4</f>
        <v>412.22499999999997</v>
      </c>
      <c r="Z37" s="38"/>
      <c r="AA37" s="38"/>
      <c r="AB37" s="38"/>
      <c r="AC37" s="38"/>
      <c r="AD37" s="38"/>
      <c r="AE37" s="38"/>
      <c r="AF37" s="38"/>
    </row>
    <row r="38" spans="1:32" x14ac:dyDescent="0.2">
      <c r="A38" s="38" t="s">
        <v>553</v>
      </c>
      <c r="B38" s="38" t="s">
        <v>551</v>
      </c>
      <c r="C38" s="38"/>
      <c r="D38" s="38"/>
      <c r="E38" s="38"/>
      <c r="F38" s="38"/>
      <c r="G38" s="103"/>
      <c r="H38" s="73"/>
      <c r="I38" s="73"/>
      <c r="J38" s="73"/>
      <c r="K38" s="73"/>
      <c r="L38" s="73"/>
      <c r="M38" s="73"/>
      <c r="N38" s="73"/>
      <c r="O38" s="73"/>
      <c r="P38" s="68">
        <f t="shared" si="3"/>
        <v>4754.7</v>
      </c>
      <c r="Q38" s="38">
        <f>3610.7+140+1004</f>
        <v>4754.7</v>
      </c>
      <c r="R38" s="38"/>
      <c r="S38" s="38"/>
      <c r="T38" s="38"/>
      <c r="U38" s="38"/>
      <c r="V38" s="38"/>
      <c r="W38" s="38"/>
      <c r="X38" s="68">
        <f t="shared" si="4"/>
        <v>4754.7</v>
      </c>
      <c r="Y38" s="38">
        <f>Q38</f>
        <v>4754.7</v>
      </c>
      <c r="Z38" s="90"/>
      <c r="AA38" s="90"/>
      <c r="AB38" s="90"/>
      <c r="AC38" s="90"/>
      <c r="AD38" s="90"/>
      <c r="AE38" s="90"/>
      <c r="AF38" s="97"/>
    </row>
    <row r="39" spans="1:32" x14ac:dyDescent="0.2">
      <c r="G39" s="88"/>
      <c r="O39" s="89" t="s">
        <v>52</v>
      </c>
      <c r="P39" s="90">
        <f t="shared" ref="P39:AE39" si="5">SUM(P30:P38)</f>
        <v>36557.050000000003</v>
      </c>
      <c r="Q39" s="90">
        <f t="shared" si="5"/>
        <v>5819.85</v>
      </c>
      <c r="R39" s="90">
        <f t="shared" si="5"/>
        <v>0</v>
      </c>
      <c r="S39" s="90">
        <f t="shared" si="5"/>
        <v>8000</v>
      </c>
      <c r="T39" s="90">
        <f t="shared" si="5"/>
        <v>0</v>
      </c>
      <c r="U39" s="90">
        <f t="shared" si="5"/>
        <v>0</v>
      </c>
      <c r="V39" s="90">
        <f t="shared" si="5"/>
        <v>22220</v>
      </c>
      <c r="W39" s="90">
        <f t="shared" si="5"/>
        <v>517.20000000000005</v>
      </c>
      <c r="X39" s="90">
        <f t="shared" si="5"/>
        <v>36790.549999999996</v>
      </c>
      <c r="Y39" s="90">
        <f t="shared" si="5"/>
        <v>6073.3499999999995</v>
      </c>
      <c r="Z39" s="90">
        <f t="shared" si="5"/>
        <v>0</v>
      </c>
      <c r="AA39" s="90">
        <f t="shared" si="5"/>
        <v>8000</v>
      </c>
      <c r="AB39" s="90">
        <f t="shared" si="5"/>
        <v>0</v>
      </c>
      <c r="AC39" s="90">
        <f t="shared" si="5"/>
        <v>0</v>
      </c>
      <c r="AD39" s="90">
        <f t="shared" si="5"/>
        <v>22200</v>
      </c>
      <c r="AE39" s="90">
        <f t="shared" si="5"/>
        <v>517.20000000000005</v>
      </c>
    </row>
    <row r="40" spans="1:32" x14ac:dyDescent="0.2">
      <c r="A40" s="42">
        <v>2.2999999999999998</v>
      </c>
      <c r="B40" s="67" t="s">
        <v>688</v>
      </c>
      <c r="C40" s="67"/>
    </row>
    <row r="41" spans="1:32" x14ac:dyDescent="0.2">
      <c r="A41" s="42">
        <v>31</v>
      </c>
      <c r="B41" s="102" t="s">
        <v>604</v>
      </c>
      <c r="C41" s="102"/>
    </row>
    <row r="43" spans="1:32" x14ac:dyDescent="0.2">
      <c r="H43" s="122" t="s">
        <v>58</v>
      </c>
      <c r="I43" s="122"/>
      <c r="J43" s="122"/>
      <c r="K43" s="122"/>
      <c r="L43" s="122"/>
      <c r="M43" s="122"/>
      <c r="N43" s="122"/>
      <c r="O43" s="122"/>
      <c r="P43" s="123" t="s">
        <v>61</v>
      </c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</row>
    <row r="44" spans="1:32" x14ac:dyDescent="0.2">
      <c r="H44" s="124">
        <v>2019</v>
      </c>
      <c r="I44" s="124"/>
      <c r="J44" s="124"/>
      <c r="K44" s="124"/>
      <c r="L44" s="124">
        <v>2020</v>
      </c>
      <c r="M44" s="124"/>
      <c r="N44" s="124"/>
      <c r="O44" s="124"/>
      <c r="P44" s="124">
        <v>2019</v>
      </c>
      <c r="Q44" s="124"/>
      <c r="R44" s="124"/>
      <c r="S44" s="124"/>
      <c r="T44" s="124"/>
      <c r="U44" s="124"/>
      <c r="V44" s="124"/>
      <c r="W44" s="124"/>
      <c r="X44" s="125">
        <v>2020</v>
      </c>
      <c r="Y44" s="126"/>
      <c r="Z44" s="126"/>
      <c r="AA44" s="126"/>
      <c r="AB44" s="126"/>
      <c r="AC44" s="126"/>
      <c r="AD44" s="126"/>
      <c r="AE44" s="127"/>
    </row>
    <row r="45" spans="1:32" x14ac:dyDescent="0.2">
      <c r="A45" s="38"/>
      <c r="B45" s="68" t="s">
        <v>42</v>
      </c>
      <c r="C45" s="68" t="s">
        <v>760</v>
      </c>
      <c r="D45" s="68" t="s">
        <v>47</v>
      </c>
      <c r="E45" s="68" t="s">
        <v>48</v>
      </c>
      <c r="F45" s="68" t="s">
        <v>771</v>
      </c>
      <c r="G45" s="80" t="s">
        <v>43</v>
      </c>
      <c r="H45" s="43" t="s">
        <v>25</v>
      </c>
      <c r="I45" s="43" t="s">
        <v>28</v>
      </c>
      <c r="J45" s="43" t="s">
        <v>27</v>
      </c>
      <c r="K45" s="43" t="s">
        <v>26</v>
      </c>
      <c r="L45" s="43" t="s">
        <v>25</v>
      </c>
      <c r="M45" s="43" t="s">
        <v>28</v>
      </c>
      <c r="N45" s="43" t="s">
        <v>27</v>
      </c>
      <c r="O45" s="43" t="s">
        <v>26</v>
      </c>
      <c r="P45" s="68" t="s">
        <v>52</v>
      </c>
      <c r="Q45" s="38" t="s">
        <v>60</v>
      </c>
      <c r="R45" s="38" t="s">
        <v>62</v>
      </c>
      <c r="S45" s="38" t="s">
        <v>59</v>
      </c>
      <c r="T45" s="38" t="s">
        <v>63</v>
      </c>
      <c r="U45" s="38" t="s">
        <v>49</v>
      </c>
      <c r="V45" s="38" t="s">
        <v>50</v>
      </c>
      <c r="W45" s="38" t="s">
        <v>51</v>
      </c>
      <c r="X45" s="68" t="s">
        <v>52</v>
      </c>
      <c r="Y45" s="38" t="s">
        <v>60</v>
      </c>
      <c r="Z45" s="38" t="s">
        <v>62</v>
      </c>
      <c r="AA45" s="38" t="s">
        <v>59</v>
      </c>
      <c r="AB45" s="38" t="s">
        <v>63</v>
      </c>
      <c r="AC45" s="38" t="s">
        <v>49</v>
      </c>
      <c r="AD45" s="38" t="s">
        <v>50</v>
      </c>
      <c r="AE45" s="38" t="s">
        <v>51</v>
      </c>
    </row>
    <row r="46" spans="1:32" ht="33.75" x14ac:dyDescent="0.2">
      <c r="A46" s="38" t="s">
        <v>605</v>
      </c>
      <c r="B46" s="56" t="s">
        <v>691</v>
      </c>
      <c r="C46" s="56">
        <v>31</v>
      </c>
      <c r="D46" s="56" t="s">
        <v>689</v>
      </c>
      <c r="E46" s="71">
        <v>0.75</v>
      </c>
      <c r="F46" s="71" t="s">
        <v>772</v>
      </c>
      <c r="G46" s="43" t="s">
        <v>45</v>
      </c>
      <c r="H46" s="73"/>
      <c r="I46" s="73"/>
      <c r="J46" s="73"/>
      <c r="K46" s="73"/>
      <c r="L46" s="73"/>
      <c r="M46" s="73"/>
      <c r="N46" s="73"/>
      <c r="O46" s="73"/>
      <c r="P46" s="68">
        <f>SUM(Q46:W46)</f>
        <v>98</v>
      </c>
      <c r="Q46" s="38">
        <f>2914.4-Q48</f>
        <v>98</v>
      </c>
      <c r="R46" s="38"/>
      <c r="S46" s="38"/>
      <c r="T46" s="38"/>
      <c r="U46" s="38"/>
      <c r="V46" s="38"/>
      <c r="W46" s="38"/>
      <c r="X46" s="68">
        <f>SUM(Y46:AE46)</f>
        <v>196.40000000000009</v>
      </c>
      <c r="Y46" s="38">
        <f>3012.8-Y48</f>
        <v>196.40000000000009</v>
      </c>
      <c r="Z46" s="38"/>
      <c r="AA46" s="38"/>
      <c r="AB46" s="38"/>
      <c r="AC46" s="38"/>
      <c r="AD46" s="38"/>
      <c r="AE46" s="38"/>
    </row>
    <row r="47" spans="1:32" ht="22.5" x14ac:dyDescent="0.2">
      <c r="A47" s="38" t="s">
        <v>606</v>
      </c>
      <c r="B47" s="56" t="s">
        <v>690</v>
      </c>
      <c r="C47" s="56">
        <v>31</v>
      </c>
      <c r="D47" s="38"/>
      <c r="E47" s="56"/>
      <c r="F47" s="56" t="s">
        <v>772</v>
      </c>
      <c r="G47" s="43"/>
      <c r="H47" s="73"/>
      <c r="I47" s="73"/>
      <c r="J47" s="73"/>
      <c r="K47" s="73"/>
      <c r="L47" s="73"/>
      <c r="M47" s="73"/>
      <c r="N47" s="73"/>
      <c r="O47" s="73"/>
      <c r="P47" s="68">
        <f t="shared" ref="P47:P48" si="6">SUM(Q47:W47)</f>
        <v>1086.5</v>
      </c>
      <c r="Q47" s="38"/>
      <c r="R47" s="38"/>
      <c r="S47" s="38"/>
      <c r="T47" s="38"/>
      <c r="U47" s="38"/>
      <c r="V47" s="38">
        <v>920</v>
      </c>
      <c r="W47" s="38">
        <v>166.5</v>
      </c>
      <c r="X47" s="68">
        <f t="shared" ref="X47:X48" si="7">SUM(Y47:AE47)</f>
        <v>766.5</v>
      </c>
      <c r="Y47" s="38"/>
      <c r="Z47" s="38"/>
      <c r="AA47" s="38"/>
      <c r="AB47" s="38"/>
      <c r="AC47" s="38"/>
      <c r="AD47" s="38">
        <v>600</v>
      </c>
      <c r="AE47" s="38">
        <v>166.5</v>
      </c>
      <c r="AF47" s="42" t="s">
        <v>608</v>
      </c>
    </row>
    <row r="48" spans="1:32" x14ac:dyDescent="0.2">
      <c r="A48" s="38" t="s">
        <v>607</v>
      </c>
      <c r="B48" s="38" t="s">
        <v>692</v>
      </c>
      <c r="C48" s="38"/>
      <c r="D48" s="38"/>
      <c r="E48" s="38"/>
      <c r="F48" s="38"/>
      <c r="G48" s="43"/>
      <c r="H48" s="73"/>
      <c r="I48" s="73"/>
      <c r="J48" s="73"/>
      <c r="K48" s="73"/>
      <c r="L48" s="73"/>
      <c r="M48" s="73"/>
      <c r="N48" s="73"/>
      <c r="O48" s="73"/>
      <c r="P48" s="68">
        <f t="shared" si="6"/>
        <v>2816.4</v>
      </c>
      <c r="Q48" s="38">
        <f>2736.4+80</f>
        <v>2816.4</v>
      </c>
      <c r="R48" s="38"/>
      <c r="S48" s="38"/>
      <c r="T48" s="38"/>
      <c r="U48" s="38"/>
      <c r="V48" s="38"/>
      <c r="W48" s="38"/>
      <c r="X48" s="68">
        <f t="shared" si="7"/>
        <v>2816.4</v>
      </c>
      <c r="Y48" s="38">
        <f>2736.4+80</f>
        <v>2816.4</v>
      </c>
      <c r="Z48" s="90"/>
      <c r="AA48" s="90"/>
      <c r="AB48" s="90"/>
      <c r="AC48" s="90"/>
      <c r="AD48" s="90"/>
      <c r="AE48" s="90"/>
    </row>
    <row r="49" spans="1:32" x14ac:dyDescent="0.2">
      <c r="G49" s="88"/>
      <c r="O49" s="89" t="s">
        <v>52</v>
      </c>
      <c r="P49" s="90">
        <f t="shared" ref="P49:AE49" si="8">SUM(P46:P48)</f>
        <v>4000.9</v>
      </c>
      <c r="Q49" s="90">
        <f t="shared" si="8"/>
        <v>2914.4</v>
      </c>
      <c r="R49" s="90">
        <f t="shared" si="8"/>
        <v>0</v>
      </c>
      <c r="S49" s="90">
        <f t="shared" si="8"/>
        <v>0</v>
      </c>
      <c r="T49" s="90">
        <f t="shared" si="8"/>
        <v>0</v>
      </c>
      <c r="U49" s="90">
        <f t="shared" si="8"/>
        <v>0</v>
      </c>
      <c r="V49" s="90">
        <f t="shared" si="8"/>
        <v>920</v>
      </c>
      <c r="W49" s="90">
        <f t="shared" si="8"/>
        <v>166.5</v>
      </c>
      <c r="X49" s="90">
        <f t="shared" si="8"/>
        <v>3779.3</v>
      </c>
      <c r="Y49" s="90">
        <f t="shared" si="8"/>
        <v>3012.8</v>
      </c>
      <c r="Z49" s="90">
        <f t="shared" si="8"/>
        <v>0</v>
      </c>
      <c r="AA49" s="90">
        <f t="shared" si="8"/>
        <v>0</v>
      </c>
      <c r="AB49" s="90">
        <f t="shared" si="8"/>
        <v>0</v>
      </c>
      <c r="AC49" s="90">
        <f t="shared" si="8"/>
        <v>0</v>
      </c>
      <c r="AD49" s="90">
        <f t="shared" si="8"/>
        <v>600</v>
      </c>
      <c r="AE49" s="90">
        <f t="shared" si="8"/>
        <v>166.5</v>
      </c>
    </row>
    <row r="51" spans="1:32" x14ac:dyDescent="0.2">
      <c r="M51" s="42" t="s">
        <v>534</v>
      </c>
      <c r="P51" s="42" t="str">
        <f t="shared" ref="P51:AE51" si="9">P29</f>
        <v>Total</v>
      </c>
      <c r="Q51" s="42" t="str">
        <f t="shared" si="9"/>
        <v>Recurr.</v>
      </c>
      <c r="R51" s="42" t="str">
        <f t="shared" si="9"/>
        <v>Dev.</v>
      </c>
      <c r="S51" s="42" t="str">
        <f t="shared" si="9"/>
        <v>Prov.</v>
      </c>
      <c r="T51" s="42" t="str">
        <f t="shared" si="9"/>
        <v>Dept</v>
      </c>
      <c r="U51" s="42" t="str">
        <f t="shared" si="9"/>
        <v>TFF</v>
      </c>
      <c r="V51" s="42" t="str">
        <f t="shared" si="9"/>
        <v>DP</v>
      </c>
      <c r="W51" s="42" t="str">
        <f t="shared" si="9"/>
        <v>Gap</v>
      </c>
      <c r="X51" s="42" t="str">
        <f t="shared" si="9"/>
        <v>Total</v>
      </c>
      <c r="Y51" s="42" t="str">
        <f t="shared" si="9"/>
        <v>Recurr.</v>
      </c>
      <c r="Z51" s="42" t="str">
        <f t="shared" si="9"/>
        <v>Dev.</v>
      </c>
      <c r="AA51" s="42" t="str">
        <f t="shared" si="9"/>
        <v>Prov.</v>
      </c>
      <c r="AB51" s="42" t="str">
        <f t="shared" si="9"/>
        <v>Dept</v>
      </c>
      <c r="AC51" s="42" t="str">
        <f t="shared" si="9"/>
        <v>TFF</v>
      </c>
      <c r="AD51" s="42" t="str">
        <f t="shared" si="9"/>
        <v>DP</v>
      </c>
      <c r="AE51" s="42" t="str">
        <f t="shared" si="9"/>
        <v>Gap</v>
      </c>
    </row>
    <row r="52" spans="1:32" x14ac:dyDescent="0.2">
      <c r="P52" s="42">
        <f t="shared" ref="P52:AE52" si="10">P39+P20+P49</f>
        <v>75644.95</v>
      </c>
      <c r="Q52" s="42">
        <f t="shared" si="10"/>
        <v>22477.45</v>
      </c>
      <c r="R52" s="42">
        <f t="shared" si="10"/>
        <v>15000</v>
      </c>
      <c r="S52" s="42">
        <f t="shared" si="10"/>
        <v>8000</v>
      </c>
      <c r="T52" s="42">
        <f t="shared" si="10"/>
        <v>0</v>
      </c>
      <c r="U52" s="42">
        <f t="shared" si="10"/>
        <v>0</v>
      </c>
      <c r="V52" s="42">
        <f t="shared" si="10"/>
        <v>26860</v>
      </c>
      <c r="W52" s="42">
        <f t="shared" si="10"/>
        <v>3307.5</v>
      </c>
      <c r="X52" s="42">
        <f t="shared" si="10"/>
        <v>74191.05</v>
      </c>
      <c r="Y52" s="42">
        <f t="shared" si="10"/>
        <v>23293.55</v>
      </c>
      <c r="Z52" s="42">
        <f t="shared" si="10"/>
        <v>15000</v>
      </c>
      <c r="AA52" s="42">
        <f t="shared" si="10"/>
        <v>8000</v>
      </c>
      <c r="AB52" s="42">
        <f t="shared" si="10"/>
        <v>0</v>
      </c>
      <c r="AC52" s="42">
        <f t="shared" si="10"/>
        <v>0</v>
      </c>
      <c r="AD52" s="42">
        <f t="shared" si="10"/>
        <v>24590</v>
      </c>
      <c r="AE52" s="42">
        <f t="shared" si="10"/>
        <v>3307.5</v>
      </c>
    </row>
    <row r="54" spans="1:32" x14ac:dyDescent="0.2">
      <c r="B54" s="42" t="s">
        <v>720</v>
      </c>
    </row>
    <row r="56" spans="1:32" x14ac:dyDescent="0.2">
      <c r="A56" s="38"/>
      <c r="B56" s="68" t="s">
        <v>42</v>
      </c>
      <c r="C56" s="68" t="s">
        <v>760</v>
      </c>
      <c r="D56" s="68" t="s">
        <v>47</v>
      </c>
      <c r="E56" s="68" t="s">
        <v>48</v>
      </c>
      <c r="F56" s="68" t="s">
        <v>774</v>
      </c>
      <c r="G56" s="80" t="s">
        <v>43</v>
      </c>
    </row>
    <row r="57" spans="1:32" x14ac:dyDescent="0.2">
      <c r="A57" s="38" t="s">
        <v>70</v>
      </c>
      <c r="B57" s="38" t="s">
        <v>128</v>
      </c>
      <c r="C57" s="38"/>
      <c r="D57" s="38"/>
      <c r="E57" s="38" t="s">
        <v>127</v>
      </c>
      <c r="F57" s="38"/>
      <c r="G57" s="43" t="s">
        <v>45</v>
      </c>
      <c r="H57" s="73"/>
      <c r="I57" s="73"/>
      <c r="J57" s="38"/>
      <c r="K57" s="38"/>
      <c r="L57" s="38"/>
      <c r="M57" s="38"/>
      <c r="N57" s="38"/>
      <c r="O57" s="38"/>
      <c r="P57" s="68">
        <f t="shared" ref="P57:P58" si="11">SUM(Q57:W57)</f>
        <v>0</v>
      </c>
      <c r="Q57" s="38"/>
      <c r="R57" s="38"/>
      <c r="S57" s="38"/>
      <c r="T57" s="38"/>
      <c r="U57" s="38"/>
      <c r="V57" s="38"/>
      <c r="W57" s="38"/>
      <c r="X57" s="68">
        <f t="shared" ref="X57:X60" si="12">SUM(Y57:AE57)</f>
        <v>0</v>
      </c>
      <c r="Y57" s="38"/>
      <c r="Z57" s="38"/>
      <c r="AA57" s="38"/>
      <c r="AB57" s="38"/>
      <c r="AC57" s="38"/>
      <c r="AD57" s="38"/>
      <c r="AE57" s="38"/>
      <c r="AF57" s="38"/>
    </row>
    <row r="58" spans="1:32" x14ac:dyDescent="0.2">
      <c r="A58" s="38" t="s">
        <v>147</v>
      </c>
      <c r="B58" s="38" t="s">
        <v>124</v>
      </c>
      <c r="C58" s="38"/>
      <c r="D58" s="38"/>
      <c r="E58" s="38"/>
      <c r="F58" s="38"/>
      <c r="G58" s="43" t="s">
        <v>125</v>
      </c>
      <c r="H58" s="73"/>
      <c r="I58" s="73"/>
      <c r="J58" s="73"/>
      <c r="K58" s="73"/>
      <c r="L58" s="73"/>
      <c r="M58" s="73"/>
      <c r="N58" s="73"/>
      <c r="O58" s="73"/>
      <c r="P58" s="68">
        <f t="shared" si="11"/>
        <v>0</v>
      </c>
      <c r="Q58" s="38"/>
      <c r="R58" s="38"/>
      <c r="S58" s="38"/>
      <c r="T58" s="38"/>
      <c r="U58" s="38"/>
      <c r="V58" s="38"/>
      <c r="W58" s="38"/>
      <c r="X58" s="68">
        <f t="shared" si="12"/>
        <v>0</v>
      </c>
      <c r="Y58" s="38"/>
      <c r="Z58" s="38"/>
      <c r="AA58" s="38"/>
      <c r="AB58" s="38"/>
      <c r="AC58" s="38"/>
      <c r="AD58" s="38"/>
      <c r="AE58" s="38"/>
      <c r="AF58" s="38"/>
    </row>
    <row r="59" spans="1:32" ht="33.75" x14ac:dyDescent="0.2">
      <c r="A59" s="38" t="s">
        <v>79</v>
      </c>
      <c r="B59" s="56" t="s">
        <v>130</v>
      </c>
      <c r="C59" s="56"/>
      <c r="D59" s="38"/>
      <c r="E59" s="56" t="s">
        <v>131</v>
      </c>
      <c r="F59" s="56"/>
      <c r="G59" s="43" t="s">
        <v>45</v>
      </c>
      <c r="H59" s="38"/>
      <c r="I59" s="38"/>
      <c r="J59" s="73"/>
      <c r="K59" s="38"/>
      <c r="L59" s="38"/>
      <c r="M59" s="38"/>
      <c r="N59" s="38"/>
      <c r="O59" s="38"/>
      <c r="P59" s="68">
        <f t="shared" ref="P59:P60" si="13">SUM(Q59:W59)</f>
        <v>0</v>
      </c>
      <c r="Q59" s="38"/>
      <c r="R59" s="38"/>
      <c r="S59" s="38"/>
      <c r="T59" s="38"/>
      <c r="U59" s="38"/>
      <c r="V59" s="38"/>
      <c r="W59" s="38"/>
      <c r="X59" s="68">
        <f t="shared" si="12"/>
        <v>0</v>
      </c>
      <c r="Y59" s="38"/>
      <c r="Z59" s="38"/>
      <c r="AA59" s="38"/>
      <c r="AB59" s="38"/>
      <c r="AC59" s="38"/>
      <c r="AD59" s="38"/>
      <c r="AE59" s="38"/>
      <c r="AF59" s="38"/>
    </row>
    <row r="60" spans="1:32" x14ac:dyDescent="0.2">
      <c r="A60" s="38" t="s">
        <v>98</v>
      </c>
      <c r="B60" s="38" t="s">
        <v>133</v>
      </c>
      <c r="C60" s="38"/>
      <c r="D60" s="56"/>
      <c r="E60" s="91"/>
      <c r="F60" s="91"/>
      <c r="G60" s="85" t="s">
        <v>137</v>
      </c>
      <c r="H60" s="83" t="s">
        <v>153</v>
      </c>
      <c r="I60" s="83"/>
      <c r="J60" s="83"/>
      <c r="K60" s="83"/>
      <c r="L60" s="83"/>
      <c r="M60" s="83"/>
      <c r="N60" s="83"/>
      <c r="O60" s="83"/>
      <c r="P60" s="68">
        <f t="shared" si="13"/>
        <v>0</v>
      </c>
      <c r="Q60" s="38"/>
      <c r="R60" s="38"/>
      <c r="S60" s="38"/>
      <c r="T60" s="38"/>
      <c r="U60" s="38"/>
      <c r="V60" s="38"/>
      <c r="W60" s="38"/>
      <c r="X60" s="68">
        <f t="shared" si="12"/>
        <v>0</v>
      </c>
      <c r="Y60" s="38"/>
      <c r="Z60" s="38"/>
      <c r="AA60" s="38"/>
      <c r="AB60" s="38"/>
      <c r="AC60" s="38"/>
      <c r="AD60" s="38"/>
      <c r="AE60" s="38"/>
      <c r="AF60" s="38"/>
    </row>
  </sheetData>
  <mergeCells count="18">
    <mergeCell ref="H7:K7"/>
    <mergeCell ref="L7:O7"/>
    <mergeCell ref="H6:O6"/>
    <mergeCell ref="P7:W7"/>
    <mergeCell ref="P6:AE6"/>
    <mergeCell ref="X7:AE7"/>
    <mergeCell ref="H27:O27"/>
    <mergeCell ref="P27:AE27"/>
    <mergeCell ref="H28:K28"/>
    <mergeCell ref="L28:O28"/>
    <mergeCell ref="P28:W28"/>
    <mergeCell ref="X28:AE28"/>
    <mergeCell ref="H43:O43"/>
    <mergeCell ref="P43:AE43"/>
    <mergeCell ref="H44:K44"/>
    <mergeCell ref="L44:O44"/>
    <mergeCell ref="P44:W44"/>
    <mergeCell ref="X44:AE4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0"/>
  <sheetViews>
    <sheetView zoomScale="115" zoomScaleNormal="115" workbookViewId="0">
      <selection activeCell="D9" sqref="A1:XFD1048576"/>
    </sheetView>
  </sheetViews>
  <sheetFormatPr defaultColWidth="8.85546875" defaultRowHeight="11.25" x14ac:dyDescent="0.2"/>
  <cols>
    <col min="1" max="1" width="3.85546875" style="42" customWidth="1"/>
    <col min="2" max="2" width="34.85546875" style="42" customWidth="1"/>
    <col min="3" max="3" width="7.5703125" style="42" customWidth="1"/>
    <col min="4" max="4" width="25.42578125" style="42" customWidth="1"/>
    <col min="5" max="5" width="20.85546875" style="42" customWidth="1"/>
    <col min="6" max="6" width="7.5703125" style="42" customWidth="1"/>
    <col min="7" max="7" width="8.5703125" style="79" customWidth="1"/>
    <col min="8" max="15" width="3.140625" style="42" customWidth="1"/>
    <col min="16" max="16" width="5.140625" style="42" customWidth="1"/>
    <col min="17" max="17" width="5.42578125" style="42" customWidth="1"/>
    <col min="18" max="23" width="4.140625" style="42" customWidth="1"/>
    <col min="24" max="24" width="5.140625" style="42" customWidth="1"/>
    <col min="25" max="31" width="4.140625" style="42" customWidth="1"/>
    <col min="32" max="32" width="29.42578125" style="42" customWidth="1"/>
    <col min="33" max="16384" width="8.85546875" style="42"/>
  </cols>
  <sheetData>
    <row r="1" spans="1:32" ht="12.75" thickBot="1" x14ac:dyDescent="0.25">
      <c r="A1" s="76">
        <v>3</v>
      </c>
      <c r="B1" s="77" t="s">
        <v>40</v>
      </c>
      <c r="C1" s="77"/>
      <c r="D1" s="78" t="s">
        <v>36</v>
      </c>
    </row>
    <row r="2" spans="1:32" x14ac:dyDescent="0.2">
      <c r="A2" s="67">
        <v>3.1</v>
      </c>
      <c r="B2" s="67" t="s">
        <v>154</v>
      </c>
      <c r="C2" s="67"/>
    </row>
    <row r="3" spans="1:32" x14ac:dyDescent="0.2">
      <c r="A3" s="42">
        <v>21</v>
      </c>
      <c r="B3" s="40" t="s">
        <v>159</v>
      </c>
      <c r="C3" s="40"/>
      <c r="D3" s="40"/>
    </row>
    <row r="4" spans="1:32" x14ac:dyDescent="0.2">
      <c r="A4" s="42">
        <v>22</v>
      </c>
      <c r="B4" s="40" t="s">
        <v>155</v>
      </c>
      <c r="C4" s="40"/>
      <c r="D4" s="40"/>
    </row>
    <row r="5" spans="1:32" x14ac:dyDescent="0.2">
      <c r="A5" s="42">
        <v>23</v>
      </c>
      <c r="B5" s="40" t="s">
        <v>156</v>
      </c>
      <c r="C5" s="40"/>
      <c r="D5" s="40"/>
    </row>
    <row r="6" spans="1:32" x14ac:dyDescent="0.2">
      <c r="A6" s="42">
        <v>24</v>
      </c>
      <c r="B6" s="40" t="s">
        <v>160</v>
      </c>
      <c r="C6" s="40"/>
      <c r="D6" s="40"/>
    </row>
    <row r="7" spans="1:32" x14ac:dyDescent="0.2">
      <c r="A7" s="42">
        <v>25</v>
      </c>
      <c r="B7" s="40" t="s">
        <v>157</v>
      </c>
      <c r="C7" s="40"/>
      <c r="D7" s="40"/>
    </row>
    <row r="8" spans="1:32" x14ac:dyDescent="0.2">
      <c r="A8" s="42">
        <v>26</v>
      </c>
      <c r="B8" s="40" t="s">
        <v>158</v>
      </c>
      <c r="C8" s="40"/>
    </row>
    <row r="9" spans="1:32" ht="12" x14ac:dyDescent="0.2">
      <c r="B9" s="104"/>
      <c r="C9" s="104"/>
      <c r="H9" s="122" t="s">
        <v>58</v>
      </c>
      <c r="I9" s="122"/>
      <c r="J9" s="122"/>
      <c r="K9" s="122"/>
      <c r="L9" s="122"/>
      <c r="M9" s="122"/>
      <c r="N9" s="122"/>
      <c r="O9" s="122"/>
      <c r="P9" s="123" t="s">
        <v>61</v>
      </c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</row>
    <row r="10" spans="1:32" ht="12" customHeight="1" x14ac:dyDescent="0.2">
      <c r="H10" s="124">
        <v>2019</v>
      </c>
      <c r="I10" s="124"/>
      <c r="J10" s="124"/>
      <c r="K10" s="124"/>
      <c r="L10" s="124">
        <v>2020</v>
      </c>
      <c r="M10" s="124"/>
      <c r="N10" s="124"/>
      <c r="O10" s="124"/>
      <c r="P10" s="124">
        <v>2019</v>
      </c>
      <c r="Q10" s="124"/>
      <c r="R10" s="124"/>
      <c r="S10" s="124"/>
      <c r="T10" s="124"/>
      <c r="U10" s="124"/>
      <c r="V10" s="124"/>
      <c r="W10" s="124"/>
      <c r="X10" s="125">
        <v>2020</v>
      </c>
      <c r="Y10" s="126"/>
      <c r="Z10" s="126"/>
      <c r="AA10" s="126"/>
      <c r="AB10" s="126"/>
      <c r="AC10" s="126"/>
      <c r="AD10" s="126"/>
      <c r="AE10" s="127"/>
    </row>
    <row r="11" spans="1:32" x14ac:dyDescent="0.2">
      <c r="A11" s="38"/>
      <c r="B11" s="68" t="s">
        <v>42</v>
      </c>
      <c r="C11" s="68" t="s">
        <v>761</v>
      </c>
      <c r="D11" s="68" t="s">
        <v>47</v>
      </c>
      <c r="E11" s="68" t="s">
        <v>48</v>
      </c>
      <c r="F11" s="68" t="s">
        <v>774</v>
      </c>
      <c r="G11" s="80" t="s">
        <v>43</v>
      </c>
      <c r="H11" s="103" t="s">
        <v>25</v>
      </c>
      <c r="I11" s="103" t="s">
        <v>28</v>
      </c>
      <c r="J11" s="103" t="s">
        <v>27</v>
      </c>
      <c r="K11" s="103" t="s">
        <v>26</v>
      </c>
      <c r="L11" s="103" t="s">
        <v>25</v>
      </c>
      <c r="M11" s="103" t="s">
        <v>28</v>
      </c>
      <c r="N11" s="103" t="s">
        <v>27</v>
      </c>
      <c r="O11" s="103" t="s">
        <v>26</v>
      </c>
      <c r="P11" s="68" t="s">
        <v>52</v>
      </c>
      <c r="Q11" s="38" t="s">
        <v>60</v>
      </c>
      <c r="R11" s="38" t="s">
        <v>62</v>
      </c>
      <c r="S11" s="38" t="s">
        <v>59</v>
      </c>
      <c r="T11" s="38" t="s">
        <v>63</v>
      </c>
      <c r="U11" s="38" t="s">
        <v>49</v>
      </c>
      <c r="V11" s="38" t="s">
        <v>50</v>
      </c>
      <c r="W11" s="38" t="s">
        <v>51</v>
      </c>
      <c r="X11" s="68" t="s">
        <v>52</v>
      </c>
      <c r="Y11" s="38" t="s">
        <v>60</v>
      </c>
      <c r="Z11" s="38" t="s">
        <v>62</v>
      </c>
      <c r="AA11" s="38" t="s">
        <v>59</v>
      </c>
      <c r="AB11" s="38" t="s">
        <v>63</v>
      </c>
      <c r="AC11" s="38" t="s">
        <v>49</v>
      </c>
      <c r="AD11" s="38" t="s">
        <v>50</v>
      </c>
      <c r="AE11" s="38" t="s">
        <v>51</v>
      </c>
      <c r="AF11" s="38" t="s">
        <v>53</v>
      </c>
    </row>
    <row r="12" spans="1:32" ht="35.450000000000003" customHeight="1" x14ac:dyDescent="0.2">
      <c r="A12" s="38" t="s">
        <v>162</v>
      </c>
      <c r="B12" s="56" t="s">
        <v>394</v>
      </c>
      <c r="C12" s="56">
        <v>21</v>
      </c>
      <c r="D12" s="56" t="s">
        <v>167</v>
      </c>
      <c r="E12" s="105">
        <v>1</v>
      </c>
      <c r="F12" s="105" t="s">
        <v>772</v>
      </c>
      <c r="G12" s="103" t="s">
        <v>97</v>
      </c>
      <c r="H12" s="73"/>
      <c r="I12" s="73"/>
      <c r="J12" s="73"/>
      <c r="K12" s="73"/>
      <c r="L12" s="73"/>
      <c r="M12" s="73"/>
      <c r="N12" s="73"/>
      <c r="O12" s="73"/>
      <c r="P12" s="68">
        <f>SUM(Q12:W12)</f>
        <v>8322.6</v>
      </c>
      <c r="Q12" s="38">
        <f>(1641.4-Q19)/2</f>
        <v>85</v>
      </c>
      <c r="R12" s="38"/>
      <c r="S12" s="38"/>
      <c r="T12" s="38"/>
      <c r="U12" s="38"/>
      <c r="V12" s="38">
        <v>7700</v>
      </c>
      <c r="W12" s="38">
        <v>537.6</v>
      </c>
      <c r="X12" s="68">
        <f>SUM(Y12:AE12)</f>
        <v>8343</v>
      </c>
      <c r="Y12" s="38">
        <f>(1682.2-Y19)/2</f>
        <v>105.39999999999998</v>
      </c>
      <c r="Z12" s="38"/>
      <c r="AA12" s="38"/>
      <c r="AB12" s="38"/>
      <c r="AC12" s="38"/>
      <c r="AD12" s="38">
        <v>7700</v>
      </c>
      <c r="AE12" s="38">
        <v>537.6</v>
      </c>
      <c r="AF12" s="38"/>
    </row>
    <row r="13" spans="1:32" ht="35.450000000000003" customHeight="1" x14ac:dyDescent="0.2">
      <c r="A13" s="38" t="s">
        <v>163</v>
      </c>
      <c r="B13" s="56" t="s">
        <v>393</v>
      </c>
      <c r="C13" s="56">
        <v>21</v>
      </c>
      <c r="D13" s="56" t="s">
        <v>167</v>
      </c>
      <c r="E13" s="105">
        <v>1</v>
      </c>
      <c r="F13" s="105" t="s">
        <v>772</v>
      </c>
      <c r="G13" s="103" t="s">
        <v>97</v>
      </c>
      <c r="H13" s="73"/>
      <c r="I13" s="73"/>
      <c r="J13" s="73"/>
      <c r="K13" s="73"/>
      <c r="L13" s="73"/>
      <c r="M13" s="73"/>
      <c r="N13" s="73"/>
      <c r="O13" s="73"/>
      <c r="P13" s="68">
        <f t="shared" ref="P13:P21" si="0">SUM(Q13:W13)</f>
        <v>85</v>
      </c>
      <c r="Q13" s="38">
        <f>Q12</f>
        <v>85</v>
      </c>
      <c r="R13" s="38"/>
      <c r="S13" s="38"/>
      <c r="T13" s="38"/>
      <c r="U13" s="38"/>
      <c r="V13" s="38"/>
      <c r="W13" s="38"/>
      <c r="X13" s="68">
        <f t="shared" ref="X13:X21" si="1">SUM(Y13:AE13)</f>
        <v>105.39999999999998</v>
      </c>
      <c r="Y13" s="38">
        <f>Y12</f>
        <v>105.39999999999998</v>
      </c>
      <c r="Z13" s="38"/>
      <c r="AA13" s="38"/>
      <c r="AB13" s="38"/>
      <c r="AC13" s="38"/>
      <c r="AD13" s="38"/>
      <c r="AE13" s="38"/>
      <c r="AF13" s="38"/>
    </row>
    <row r="14" spans="1:32" ht="32.450000000000003" customHeight="1" x14ac:dyDescent="0.2">
      <c r="A14" s="38" t="s">
        <v>164</v>
      </c>
      <c r="B14" s="56" t="s">
        <v>161</v>
      </c>
      <c r="C14" s="56">
        <v>21</v>
      </c>
      <c r="D14" s="56" t="s">
        <v>693</v>
      </c>
      <c r="E14" s="69">
        <v>0.9</v>
      </c>
      <c r="F14" s="105" t="s">
        <v>772</v>
      </c>
      <c r="G14" s="103" t="s">
        <v>110</v>
      </c>
      <c r="H14" s="83"/>
      <c r="I14" s="83"/>
      <c r="J14" s="73"/>
      <c r="K14" s="73"/>
      <c r="L14" s="73"/>
      <c r="M14" s="73"/>
      <c r="N14" s="73"/>
      <c r="O14" s="73"/>
      <c r="P14" s="68">
        <f t="shared" si="0"/>
        <v>1000</v>
      </c>
      <c r="Q14" s="38">
        <v>1000</v>
      </c>
      <c r="R14" s="38"/>
      <c r="S14" s="38"/>
      <c r="T14" s="38"/>
      <c r="U14" s="38"/>
      <c r="V14" s="38"/>
      <c r="W14" s="38"/>
      <c r="X14" s="68">
        <f t="shared" si="1"/>
        <v>1000</v>
      </c>
      <c r="Y14" s="38">
        <v>1000</v>
      </c>
      <c r="Z14" s="38"/>
      <c r="AA14" s="38"/>
      <c r="AB14" s="38"/>
      <c r="AC14" s="38"/>
      <c r="AD14" s="38"/>
      <c r="AE14" s="38"/>
      <c r="AF14" s="38" t="s">
        <v>107</v>
      </c>
    </row>
    <row r="15" spans="1:32" ht="56.25" x14ac:dyDescent="0.2">
      <c r="A15" s="38" t="s">
        <v>165</v>
      </c>
      <c r="B15" s="56" t="s">
        <v>696</v>
      </c>
      <c r="C15" s="56">
        <v>23</v>
      </c>
      <c r="D15" s="56" t="s">
        <v>694</v>
      </c>
      <c r="E15" s="71" t="s">
        <v>745</v>
      </c>
      <c r="F15" s="105" t="s">
        <v>772</v>
      </c>
      <c r="G15" s="103" t="s">
        <v>97</v>
      </c>
      <c r="H15" s="73"/>
      <c r="I15" s="73"/>
      <c r="J15" s="73"/>
      <c r="K15" s="73"/>
      <c r="L15" s="73"/>
      <c r="M15" s="73"/>
      <c r="N15" s="73"/>
      <c r="O15" s="73"/>
      <c r="P15" s="68">
        <f t="shared" si="0"/>
        <v>252071.69999999998</v>
      </c>
      <c r="Q15" s="38">
        <f>19930-Q21-1000</f>
        <v>9964.5</v>
      </c>
      <c r="R15" s="38"/>
      <c r="S15" s="38">
        <v>53151.9</v>
      </c>
      <c r="T15" s="38"/>
      <c r="U15" s="38">
        <v>174672</v>
      </c>
      <c r="V15" s="38">
        <v>500</v>
      </c>
      <c r="W15" s="38">
        <v>13783.3</v>
      </c>
      <c r="X15" s="68">
        <f t="shared" si="1"/>
        <v>265229.7</v>
      </c>
      <c r="Y15" s="38">
        <f>21278.3-Y21-1000</f>
        <v>11312.8</v>
      </c>
      <c r="Z15" s="38"/>
      <c r="AA15" s="38">
        <v>53151.9</v>
      </c>
      <c r="AB15" s="38"/>
      <c r="AC15" s="38">
        <v>186482</v>
      </c>
      <c r="AD15" s="38">
        <v>500</v>
      </c>
      <c r="AE15" s="38">
        <v>13783</v>
      </c>
      <c r="AF15" s="38"/>
    </row>
    <row r="16" spans="1:32" ht="56.25" x14ac:dyDescent="0.2">
      <c r="A16" s="38" t="s">
        <v>166</v>
      </c>
      <c r="B16" s="56" t="s">
        <v>633</v>
      </c>
      <c r="C16" s="56">
        <v>23</v>
      </c>
      <c r="D16" s="56" t="s">
        <v>697</v>
      </c>
      <c r="E16" s="71" t="s">
        <v>746</v>
      </c>
      <c r="F16" s="105" t="s">
        <v>772</v>
      </c>
      <c r="G16" s="103" t="s">
        <v>634</v>
      </c>
      <c r="H16" s="73"/>
      <c r="I16" s="73"/>
      <c r="J16" s="73"/>
      <c r="K16" s="73"/>
      <c r="L16" s="73"/>
      <c r="M16" s="73"/>
      <c r="N16" s="73"/>
      <c r="O16" s="73"/>
      <c r="P16" s="68">
        <f t="shared" si="0"/>
        <v>21500</v>
      </c>
      <c r="Q16" s="38"/>
      <c r="R16" s="38"/>
      <c r="S16" s="38"/>
      <c r="T16" s="38"/>
      <c r="U16" s="38"/>
      <c r="V16" s="38">
        <f>12900/2/0.3</f>
        <v>21500</v>
      </c>
      <c r="W16" s="38"/>
      <c r="X16" s="68"/>
      <c r="Y16" s="38"/>
      <c r="Z16" s="38"/>
      <c r="AA16" s="38"/>
      <c r="AB16" s="38"/>
      <c r="AC16" s="38"/>
      <c r="AD16" s="38">
        <f>V16</f>
        <v>21500</v>
      </c>
      <c r="AE16" s="38"/>
      <c r="AF16" s="38"/>
    </row>
    <row r="17" spans="1:32" ht="56.25" x14ac:dyDescent="0.2">
      <c r="A17" s="38" t="s">
        <v>512</v>
      </c>
      <c r="B17" s="56" t="s">
        <v>635</v>
      </c>
      <c r="C17" s="56">
        <v>23</v>
      </c>
      <c r="D17" s="56" t="s">
        <v>697</v>
      </c>
      <c r="E17" s="71" t="s">
        <v>747</v>
      </c>
      <c r="F17" s="105" t="s">
        <v>772</v>
      </c>
      <c r="G17" s="103" t="s">
        <v>634</v>
      </c>
      <c r="H17" s="73"/>
      <c r="I17" s="73"/>
      <c r="J17" s="73"/>
      <c r="K17" s="73"/>
      <c r="L17" s="73"/>
      <c r="M17" s="73"/>
      <c r="N17" s="73"/>
      <c r="O17" s="73"/>
      <c r="P17" s="68">
        <f t="shared" si="0"/>
        <v>7166.666666666667</v>
      </c>
      <c r="Q17" s="38"/>
      <c r="R17" s="38"/>
      <c r="S17" s="38"/>
      <c r="T17" s="38"/>
      <c r="U17" s="38"/>
      <c r="V17" s="38">
        <f>4.3/2/0.3*1000</f>
        <v>7166.666666666667</v>
      </c>
      <c r="W17" s="38"/>
      <c r="X17" s="68"/>
      <c r="Y17" s="38"/>
      <c r="Z17" s="38"/>
      <c r="AA17" s="38"/>
      <c r="AB17" s="38"/>
      <c r="AC17" s="38"/>
      <c r="AD17" s="38">
        <f>V17</f>
        <v>7166.666666666667</v>
      </c>
      <c r="AE17" s="38"/>
      <c r="AF17" s="38"/>
    </row>
    <row r="18" spans="1:32" ht="22.5" x14ac:dyDescent="0.2">
      <c r="A18" s="38" t="s">
        <v>554</v>
      </c>
      <c r="B18" s="56" t="s">
        <v>237</v>
      </c>
      <c r="C18" s="56">
        <v>25</v>
      </c>
      <c r="D18" s="38"/>
      <c r="E18" s="56"/>
      <c r="F18" s="105" t="s">
        <v>772</v>
      </c>
      <c r="G18" s="103" t="s">
        <v>238</v>
      </c>
      <c r="H18" s="73"/>
      <c r="I18" s="73"/>
      <c r="J18" s="73"/>
      <c r="K18" s="73"/>
      <c r="L18" s="73"/>
      <c r="M18" s="73"/>
      <c r="N18" s="73"/>
      <c r="O18" s="73"/>
      <c r="P18" s="68">
        <f t="shared" si="0"/>
        <v>2000</v>
      </c>
      <c r="Q18" s="38"/>
      <c r="R18" s="38"/>
      <c r="S18" s="38"/>
      <c r="T18" s="38"/>
      <c r="U18" s="38"/>
      <c r="V18" s="38">
        <v>2000</v>
      </c>
      <c r="W18" s="38"/>
      <c r="X18" s="68">
        <f t="shared" si="1"/>
        <v>2000</v>
      </c>
      <c r="Y18" s="38"/>
      <c r="Z18" s="38"/>
      <c r="AA18" s="38"/>
      <c r="AB18" s="38"/>
      <c r="AC18" s="38"/>
      <c r="AD18" s="38">
        <v>2000</v>
      </c>
      <c r="AE18" s="38"/>
      <c r="AF18" s="38"/>
    </row>
    <row r="19" spans="1:32" x14ac:dyDescent="0.2">
      <c r="A19" s="38" t="s">
        <v>555</v>
      </c>
      <c r="B19" s="56" t="s">
        <v>556</v>
      </c>
      <c r="C19" s="56"/>
      <c r="D19" s="38"/>
      <c r="E19" s="56"/>
      <c r="F19" s="56"/>
      <c r="G19" s="103"/>
      <c r="H19" s="73"/>
      <c r="I19" s="73"/>
      <c r="J19" s="73"/>
      <c r="K19" s="73"/>
      <c r="L19" s="73"/>
      <c r="M19" s="73"/>
      <c r="N19" s="73"/>
      <c r="O19" s="73"/>
      <c r="P19" s="68">
        <f t="shared" si="0"/>
        <v>1471.4</v>
      </c>
      <c r="Q19" s="38">
        <f>1375.7+20+75.7</f>
        <v>1471.4</v>
      </c>
      <c r="R19" s="38"/>
      <c r="S19" s="38"/>
      <c r="T19" s="38"/>
      <c r="U19" s="38"/>
      <c r="V19" s="38"/>
      <c r="W19" s="38"/>
      <c r="X19" s="68">
        <f t="shared" si="1"/>
        <v>1471.4</v>
      </c>
      <c r="Y19" s="38">
        <f>Q19</f>
        <v>1471.4</v>
      </c>
      <c r="Z19" s="38"/>
      <c r="AA19" s="38"/>
      <c r="AB19" s="38"/>
      <c r="AC19" s="38"/>
      <c r="AD19" s="38"/>
      <c r="AE19" s="38"/>
      <c r="AF19" s="97"/>
    </row>
    <row r="20" spans="1:32" x14ac:dyDescent="0.2">
      <c r="A20" s="38" t="s">
        <v>631</v>
      </c>
      <c r="B20" s="56" t="s">
        <v>557</v>
      </c>
      <c r="C20" s="56"/>
      <c r="D20" s="38"/>
      <c r="E20" s="56"/>
      <c r="F20" s="56"/>
      <c r="G20" s="103"/>
      <c r="H20" s="73"/>
      <c r="I20" s="73"/>
      <c r="J20" s="73"/>
      <c r="K20" s="73"/>
      <c r="L20" s="73"/>
      <c r="M20" s="73"/>
      <c r="N20" s="73"/>
      <c r="O20" s="73"/>
      <c r="P20" s="68">
        <f t="shared" si="0"/>
        <v>282.5</v>
      </c>
      <c r="Q20" s="38">
        <f>162.5+20+100</f>
        <v>282.5</v>
      </c>
      <c r="R20" s="38"/>
      <c r="S20" s="38"/>
      <c r="T20" s="38"/>
      <c r="U20" s="38"/>
      <c r="V20" s="38"/>
      <c r="W20" s="38"/>
      <c r="X20" s="68">
        <f t="shared" si="1"/>
        <v>282.5</v>
      </c>
      <c r="Y20" s="38">
        <f t="shared" ref="Y20:Y21" si="2">Q20</f>
        <v>282.5</v>
      </c>
      <c r="Z20" s="38"/>
      <c r="AA20" s="38"/>
      <c r="AB20" s="38"/>
      <c r="AC20" s="38"/>
      <c r="AD20" s="38"/>
      <c r="AE20" s="38"/>
      <c r="AF20" s="97"/>
    </row>
    <row r="21" spans="1:32" x14ac:dyDescent="0.2">
      <c r="A21" s="38" t="s">
        <v>632</v>
      </c>
      <c r="B21" s="56" t="s">
        <v>558</v>
      </c>
      <c r="C21" s="56"/>
      <c r="D21" s="38"/>
      <c r="E21" s="56"/>
      <c r="F21" s="56"/>
      <c r="G21" s="103"/>
      <c r="H21" s="73"/>
      <c r="I21" s="73"/>
      <c r="J21" s="73"/>
      <c r="K21" s="73"/>
      <c r="L21" s="73"/>
      <c r="M21" s="73"/>
      <c r="N21" s="73"/>
      <c r="O21" s="73"/>
      <c r="P21" s="68">
        <f t="shared" si="0"/>
        <v>8965.5</v>
      </c>
      <c r="Q21" s="38">
        <f>8945.5+20</f>
        <v>8965.5</v>
      </c>
      <c r="R21" s="38"/>
      <c r="S21" s="38"/>
      <c r="T21" s="38"/>
      <c r="U21" s="38"/>
      <c r="V21" s="38"/>
      <c r="W21" s="38"/>
      <c r="X21" s="68">
        <f t="shared" si="1"/>
        <v>8965.5</v>
      </c>
      <c r="Y21" s="38">
        <f t="shared" si="2"/>
        <v>8965.5</v>
      </c>
      <c r="Z21" s="38"/>
      <c r="AA21" s="38"/>
      <c r="AB21" s="38"/>
      <c r="AC21" s="38"/>
      <c r="AD21" s="38"/>
      <c r="AE21" s="38"/>
      <c r="AF21" s="97"/>
    </row>
    <row r="22" spans="1:32" x14ac:dyDescent="0.2">
      <c r="G22" s="88"/>
      <c r="O22" s="89" t="s">
        <v>52</v>
      </c>
      <c r="P22" s="90">
        <f>SUM(P12:P21)</f>
        <v>302865.3666666667</v>
      </c>
      <c r="Q22" s="90">
        <f t="shared" ref="Q22:AE22" si="3">SUM(Q12:Q21)</f>
        <v>21853.9</v>
      </c>
      <c r="R22" s="90">
        <f t="shared" si="3"/>
        <v>0</v>
      </c>
      <c r="S22" s="90">
        <f t="shared" si="3"/>
        <v>53151.9</v>
      </c>
      <c r="T22" s="90">
        <f t="shared" si="3"/>
        <v>0</v>
      </c>
      <c r="U22" s="90">
        <f t="shared" si="3"/>
        <v>174672</v>
      </c>
      <c r="V22" s="90">
        <f t="shared" si="3"/>
        <v>38866.666666666664</v>
      </c>
      <c r="W22" s="90">
        <f t="shared" si="3"/>
        <v>14320.9</v>
      </c>
      <c r="X22" s="90">
        <f t="shared" si="3"/>
        <v>287397.50000000006</v>
      </c>
      <c r="Y22" s="90">
        <f t="shared" si="3"/>
        <v>23243</v>
      </c>
      <c r="Z22" s="90">
        <f t="shared" si="3"/>
        <v>0</v>
      </c>
      <c r="AA22" s="90">
        <f t="shared" si="3"/>
        <v>53151.9</v>
      </c>
      <c r="AB22" s="90">
        <f t="shared" si="3"/>
        <v>0</v>
      </c>
      <c r="AC22" s="90">
        <f t="shared" si="3"/>
        <v>186482</v>
      </c>
      <c r="AD22" s="90">
        <f t="shared" si="3"/>
        <v>38866.666666666664</v>
      </c>
      <c r="AE22" s="90">
        <f t="shared" si="3"/>
        <v>14320.6</v>
      </c>
    </row>
    <row r="23" spans="1:32" x14ac:dyDescent="0.2">
      <c r="A23" s="67">
        <v>3.2</v>
      </c>
      <c r="B23" s="67" t="s">
        <v>169</v>
      </c>
      <c r="C23" s="67"/>
    </row>
    <row r="24" spans="1:32" x14ac:dyDescent="0.2">
      <c r="A24" s="42">
        <v>27</v>
      </c>
      <c r="B24" s="40" t="s">
        <v>168</v>
      </c>
      <c r="C24" s="40"/>
    </row>
    <row r="25" spans="1:32" x14ac:dyDescent="0.2">
      <c r="A25" s="42">
        <v>28</v>
      </c>
      <c r="B25" s="40" t="s">
        <v>170</v>
      </c>
      <c r="C25" s="40"/>
    </row>
    <row r="26" spans="1:32" x14ac:dyDescent="0.2">
      <c r="B26" s="40"/>
      <c r="C26" s="40"/>
    </row>
    <row r="27" spans="1:32" x14ac:dyDescent="0.2">
      <c r="H27" s="122" t="s">
        <v>58</v>
      </c>
      <c r="I27" s="122"/>
      <c r="J27" s="122"/>
      <c r="K27" s="122"/>
      <c r="L27" s="122"/>
      <c r="M27" s="122"/>
      <c r="N27" s="122"/>
      <c r="O27" s="122"/>
      <c r="P27" s="123" t="s">
        <v>61</v>
      </c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pans="1:32" x14ac:dyDescent="0.2">
      <c r="H28" s="124">
        <v>2019</v>
      </c>
      <c r="I28" s="124"/>
      <c r="J28" s="124"/>
      <c r="K28" s="124"/>
      <c r="L28" s="124">
        <v>2020</v>
      </c>
      <c r="M28" s="124"/>
      <c r="N28" s="124"/>
      <c r="O28" s="124"/>
      <c r="P28" s="124">
        <v>2019</v>
      </c>
      <c r="Q28" s="124"/>
      <c r="R28" s="124"/>
      <c r="S28" s="124"/>
      <c r="T28" s="124"/>
      <c r="U28" s="124"/>
      <c r="V28" s="124"/>
      <c r="W28" s="124"/>
      <c r="X28" s="125">
        <v>2020</v>
      </c>
      <c r="Y28" s="126"/>
      <c r="Z28" s="126"/>
      <c r="AA28" s="126"/>
      <c r="AB28" s="126"/>
      <c r="AC28" s="126"/>
      <c r="AD28" s="126"/>
      <c r="AE28" s="127"/>
    </row>
    <row r="29" spans="1:32" x14ac:dyDescent="0.2">
      <c r="A29" s="38"/>
      <c r="B29" s="68" t="s">
        <v>42</v>
      </c>
      <c r="C29" s="68" t="s">
        <v>761</v>
      </c>
      <c r="D29" s="68" t="s">
        <v>47</v>
      </c>
      <c r="E29" s="68" t="s">
        <v>48</v>
      </c>
      <c r="F29" s="68" t="s">
        <v>774</v>
      </c>
      <c r="G29" s="80" t="s">
        <v>43</v>
      </c>
      <c r="H29" s="103" t="s">
        <v>25</v>
      </c>
      <c r="I29" s="103" t="s">
        <v>28</v>
      </c>
      <c r="J29" s="103" t="s">
        <v>27</v>
      </c>
      <c r="K29" s="103" t="s">
        <v>26</v>
      </c>
      <c r="L29" s="103" t="s">
        <v>25</v>
      </c>
      <c r="M29" s="103" t="s">
        <v>28</v>
      </c>
      <c r="N29" s="103" t="s">
        <v>27</v>
      </c>
      <c r="O29" s="103" t="s">
        <v>26</v>
      </c>
      <c r="P29" s="68" t="s">
        <v>52</v>
      </c>
      <c r="Q29" s="38" t="s">
        <v>60</v>
      </c>
      <c r="R29" s="38" t="s">
        <v>62</v>
      </c>
      <c r="S29" s="38" t="s">
        <v>59</v>
      </c>
      <c r="T29" s="38" t="s">
        <v>63</v>
      </c>
      <c r="U29" s="38" t="s">
        <v>49</v>
      </c>
      <c r="V29" s="38" t="s">
        <v>50</v>
      </c>
      <c r="W29" s="38" t="s">
        <v>51</v>
      </c>
      <c r="X29" s="68" t="s">
        <v>52</v>
      </c>
      <c r="Y29" s="38" t="s">
        <v>60</v>
      </c>
      <c r="Z29" s="38" t="s">
        <v>62</v>
      </c>
      <c r="AA29" s="38" t="s">
        <v>59</v>
      </c>
      <c r="AB29" s="38" t="s">
        <v>63</v>
      </c>
      <c r="AC29" s="38" t="s">
        <v>49</v>
      </c>
      <c r="AD29" s="38" t="s">
        <v>50</v>
      </c>
      <c r="AE29" s="38" t="s">
        <v>51</v>
      </c>
      <c r="AF29" s="38" t="s">
        <v>53</v>
      </c>
    </row>
    <row r="30" spans="1:32" ht="32.450000000000003" customHeight="1" x14ac:dyDescent="0.2">
      <c r="A30" s="38" t="s">
        <v>171</v>
      </c>
      <c r="B30" s="56" t="s">
        <v>177</v>
      </c>
      <c r="C30" s="56">
        <v>28</v>
      </c>
      <c r="D30" s="38"/>
      <c r="E30" s="70" t="s">
        <v>178</v>
      </c>
      <c r="F30" s="70" t="s">
        <v>772</v>
      </c>
      <c r="G30" s="103" t="s">
        <v>180</v>
      </c>
      <c r="H30" s="73"/>
      <c r="I30" s="73"/>
      <c r="J30" s="83"/>
      <c r="K30" s="83"/>
      <c r="L30" s="83"/>
      <c r="M30" s="83"/>
      <c r="N30" s="83"/>
      <c r="O30" s="83"/>
      <c r="P30" s="68">
        <f>SUM(Q30:W30)</f>
        <v>170.89999999999998</v>
      </c>
      <c r="Q30" s="38">
        <f>796.4-Q35</f>
        <v>170.89999999999998</v>
      </c>
      <c r="R30" s="38"/>
      <c r="S30" s="38"/>
      <c r="T30" s="38"/>
      <c r="U30" s="38"/>
      <c r="V30" s="38"/>
      <c r="W30" s="38"/>
      <c r="X30" s="68">
        <f>SUM(Y30:AE30)</f>
        <v>224.7</v>
      </c>
      <c r="Y30" s="38">
        <f>796.4-Y35+53.8</f>
        <v>224.7</v>
      </c>
      <c r="Z30" s="38"/>
      <c r="AA30" s="38"/>
      <c r="AB30" s="38"/>
      <c r="AC30" s="38"/>
      <c r="AD30" s="38"/>
      <c r="AE30" s="38"/>
      <c r="AF30" s="38"/>
    </row>
    <row r="31" spans="1:32" x14ac:dyDescent="0.2">
      <c r="A31" s="38" t="s">
        <v>172</v>
      </c>
      <c r="B31" s="56" t="s">
        <v>698</v>
      </c>
      <c r="C31" s="56">
        <v>27</v>
      </c>
      <c r="D31" s="38" t="s">
        <v>179</v>
      </c>
      <c r="E31" s="56"/>
      <c r="F31" s="70" t="s">
        <v>772</v>
      </c>
      <c r="G31" s="103" t="s">
        <v>180</v>
      </c>
      <c r="H31" s="38"/>
      <c r="I31" s="38"/>
      <c r="J31" s="73"/>
      <c r="K31" s="38"/>
      <c r="L31" s="38"/>
      <c r="M31" s="73"/>
      <c r="N31" s="73"/>
      <c r="O31" s="38"/>
      <c r="P31" s="68">
        <f t="shared" ref="P31:P35" si="4">SUM(Q31:W31)</f>
        <v>150</v>
      </c>
      <c r="Q31" s="38"/>
      <c r="R31" s="38"/>
      <c r="S31" s="38"/>
      <c r="T31" s="38"/>
      <c r="U31" s="38"/>
      <c r="V31" s="38">
        <v>150</v>
      </c>
      <c r="W31" s="38"/>
      <c r="X31" s="68">
        <f t="shared" ref="X31:X35" si="5">SUM(Y31:AE31)</f>
        <v>155.69999999999999</v>
      </c>
      <c r="Y31" s="38"/>
      <c r="Z31" s="38"/>
      <c r="AA31" s="38"/>
      <c r="AB31" s="38"/>
      <c r="AC31" s="38"/>
      <c r="AD31" s="38">
        <v>155.69999999999999</v>
      </c>
      <c r="AE31" s="38"/>
      <c r="AF31" s="38"/>
    </row>
    <row r="32" spans="1:32" x14ac:dyDescent="0.2">
      <c r="A32" s="38" t="s">
        <v>173</v>
      </c>
      <c r="B32" s="56" t="s">
        <v>296</v>
      </c>
      <c r="C32" s="56">
        <v>28</v>
      </c>
      <c r="D32" s="56"/>
      <c r="E32" s="69"/>
      <c r="F32" s="70" t="s">
        <v>772</v>
      </c>
      <c r="G32" s="103" t="s">
        <v>298</v>
      </c>
      <c r="H32" s="73"/>
      <c r="I32" s="73"/>
      <c r="J32" s="73"/>
      <c r="K32" s="73"/>
      <c r="L32" s="73"/>
      <c r="M32" s="73"/>
      <c r="N32" s="73"/>
      <c r="O32" s="73"/>
      <c r="P32" s="68">
        <f t="shared" si="4"/>
        <v>155</v>
      </c>
      <c r="Q32" s="38"/>
      <c r="R32" s="38"/>
      <c r="S32" s="38"/>
      <c r="T32" s="38"/>
      <c r="U32" s="38"/>
      <c r="V32" s="38">
        <v>155</v>
      </c>
      <c r="W32" s="38"/>
      <c r="X32" s="68">
        <f t="shared" si="5"/>
        <v>150</v>
      </c>
      <c r="Y32" s="38"/>
      <c r="Z32" s="38"/>
      <c r="AA32" s="38"/>
      <c r="AB32" s="38"/>
      <c r="AC32" s="38"/>
      <c r="AD32" s="38">
        <v>150</v>
      </c>
      <c r="AE32" s="38"/>
      <c r="AF32" s="38" t="s">
        <v>104</v>
      </c>
    </row>
    <row r="33" spans="1:32" x14ac:dyDescent="0.2">
      <c r="A33" s="38" t="s">
        <v>174</v>
      </c>
      <c r="B33" s="56" t="s">
        <v>297</v>
      </c>
      <c r="C33" s="56">
        <v>27</v>
      </c>
      <c r="D33" s="56"/>
      <c r="E33" s="69"/>
      <c r="F33" s="70" t="s">
        <v>772</v>
      </c>
      <c r="G33" s="103" t="s">
        <v>299</v>
      </c>
      <c r="H33" s="73"/>
      <c r="I33" s="73"/>
      <c r="J33" s="73"/>
      <c r="K33" s="73"/>
      <c r="L33" s="73"/>
      <c r="M33" s="73"/>
      <c r="N33" s="73"/>
      <c r="O33" s="73"/>
      <c r="P33" s="68">
        <f t="shared" si="4"/>
        <v>10</v>
      </c>
      <c r="Q33" s="38"/>
      <c r="R33" s="38"/>
      <c r="S33" s="38"/>
      <c r="T33" s="38"/>
      <c r="U33" s="38"/>
      <c r="V33" s="38">
        <v>10</v>
      </c>
      <c r="W33" s="38"/>
      <c r="X33" s="68">
        <f t="shared" si="5"/>
        <v>20</v>
      </c>
      <c r="Y33" s="38"/>
      <c r="Z33" s="38"/>
      <c r="AA33" s="38"/>
      <c r="AB33" s="38"/>
      <c r="AC33" s="38"/>
      <c r="AD33" s="38">
        <v>20</v>
      </c>
      <c r="AE33" s="38"/>
      <c r="AF33" s="38"/>
    </row>
    <row r="34" spans="1:32" ht="22.5" x14ac:dyDescent="0.2">
      <c r="A34" s="38" t="s">
        <v>175</v>
      </c>
      <c r="B34" s="56" t="s">
        <v>176</v>
      </c>
      <c r="C34" s="56">
        <v>27</v>
      </c>
      <c r="D34" s="56"/>
      <c r="E34" s="69"/>
      <c r="F34" s="70" t="s">
        <v>772</v>
      </c>
      <c r="G34" s="103" t="s">
        <v>180</v>
      </c>
      <c r="H34" s="83"/>
      <c r="I34" s="83"/>
      <c r="J34" s="83"/>
      <c r="K34" s="82"/>
      <c r="L34" s="73"/>
      <c r="M34" s="73"/>
      <c r="N34" s="73"/>
      <c r="O34" s="73"/>
      <c r="P34" s="68">
        <f t="shared" si="4"/>
        <v>0</v>
      </c>
      <c r="Q34" s="38"/>
      <c r="R34" s="38"/>
      <c r="S34" s="38"/>
      <c r="T34" s="38"/>
      <c r="U34" s="38"/>
      <c r="V34" s="38"/>
      <c r="W34" s="38"/>
      <c r="X34" s="68">
        <f t="shared" si="5"/>
        <v>2.2999999999999998</v>
      </c>
      <c r="Y34" s="38"/>
      <c r="Z34" s="38"/>
      <c r="AA34" s="38"/>
      <c r="AB34" s="38"/>
      <c r="AC34" s="38"/>
      <c r="AD34" s="38">
        <v>2.2999999999999998</v>
      </c>
      <c r="AE34" s="38"/>
      <c r="AF34" s="38" t="s">
        <v>96</v>
      </c>
    </row>
    <row r="35" spans="1:32" x14ac:dyDescent="0.2">
      <c r="A35" s="38" t="s">
        <v>514</v>
      </c>
      <c r="B35" s="56" t="s">
        <v>513</v>
      </c>
      <c r="C35" s="56"/>
      <c r="D35" s="56"/>
      <c r="E35" s="69"/>
      <c r="F35" s="69"/>
      <c r="G35" s="103"/>
      <c r="H35" s="83"/>
      <c r="I35" s="83"/>
      <c r="J35" s="83"/>
      <c r="K35" s="73"/>
      <c r="L35" s="73"/>
      <c r="M35" s="73"/>
      <c r="N35" s="73"/>
      <c r="O35" s="73"/>
      <c r="P35" s="68">
        <f t="shared" si="4"/>
        <v>625.5</v>
      </c>
      <c r="Q35" s="38">
        <v>625.5</v>
      </c>
      <c r="R35" s="38"/>
      <c r="S35" s="38"/>
      <c r="T35" s="38"/>
      <c r="U35" s="38"/>
      <c r="V35" s="38"/>
      <c r="W35" s="38"/>
      <c r="X35" s="68">
        <f t="shared" si="5"/>
        <v>625.5</v>
      </c>
      <c r="Y35" s="38">
        <v>625.5</v>
      </c>
      <c r="Z35" s="38"/>
      <c r="AA35" s="38"/>
      <c r="AB35" s="38"/>
      <c r="AC35" s="38"/>
      <c r="AD35" s="38"/>
      <c r="AE35" s="38"/>
      <c r="AF35" s="38"/>
    </row>
    <row r="36" spans="1:32" x14ac:dyDescent="0.2">
      <c r="O36" s="42" t="s">
        <v>535</v>
      </c>
      <c r="P36" s="42">
        <f>SUM(P30:P35)</f>
        <v>1111.4000000000001</v>
      </c>
      <c r="Q36" s="42">
        <f t="shared" ref="Q36:AE36" si="6">SUM(Q30:Q35)</f>
        <v>796.4</v>
      </c>
      <c r="R36" s="42">
        <f t="shared" si="6"/>
        <v>0</v>
      </c>
      <c r="S36" s="42">
        <f t="shared" si="6"/>
        <v>0</v>
      </c>
      <c r="T36" s="42">
        <f t="shared" si="6"/>
        <v>0</v>
      </c>
      <c r="U36" s="42">
        <f t="shared" si="6"/>
        <v>0</v>
      </c>
      <c r="V36" s="42">
        <f t="shared" si="6"/>
        <v>315</v>
      </c>
      <c r="W36" s="42">
        <f t="shared" si="6"/>
        <v>0</v>
      </c>
      <c r="X36" s="42">
        <f t="shared" si="6"/>
        <v>1178.1999999999998</v>
      </c>
      <c r="Y36" s="42">
        <f t="shared" si="6"/>
        <v>850.2</v>
      </c>
      <c r="Z36" s="42">
        <f t="shared" si="6"/>
        <v>0</v>
      </c>
      <c r="AA36" s="42">
        <f t="shared" si="6"/>
        <v>0</v>
      </c>
      <c r="AB36" s="42">
        <f t="shared" si="6"/>
        <v>0</v>
      </c>
      <c r="AC36" s="42">
        <f t="shared" si="6"/>
        <v>0</v>
      </c>
      <c r="AD36" s="42">
        <f t="shared" si="6"/>
        <v>328</v>
      </c>
      <c r="AE36" s="42">
        <f t="shared" si="6"/>
        <v>0</v>
      </c>
    </row>
    <row r="37" spans="1:32" x14ac:dyDescent="0.2">
      <c r="A37" s="67">
        <v>3.3</v>
      </c>
      <c r="B37" s="67" t="s">
        <v>181</v>
      </c>
      <c r="C37" s="67"/>
    </row>
    <row r="38" spans="1:32" x14ac:dyDescent="0.2">
      <c r="A38" s="42">
        <v>29</v>
      </c>
      <c r="B38" s="40" t="s">
        <v>182</v>
      </c>
      <c r="C38" s="40"/>
    </row>
    <row r="39" spans="1:32" x14ac:dyDescent="0.2">
      <c r="B39" s="40"/>
      <c r="C39" s="40"/>
    </row>
    <row r="40" spans="1:32" x14ac:dyDescent="0.2">
      <c r="H40" s="122" t="s">
        <v>58</v>
      </c>
      <c r="I40" s="122"/>
      <c r="J40" s="122"/>
      <c r="K40" s="122"/>
      <c r="L40" s="122"/>
      <c r="M40" s="122"/>
      <c r="N40" s="122"/>
      <c r="O40" s="122"/>
      <c r="P40" s="123" t="s">
        <v>61</v>
      </c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</row>
    <row r="41" spans="1:32" x14ac:dyDescent="0.2">
      <c r="H41" s="124">
        <v>2019</v>
      </c>
      <c r="I41" s="124"/>
      <c r="J41" s="124"/>
      <c r="K41" s="124"/>
      <c r="L41" s="124">
        <v>2020</v>
      </c>
      <c r="M41" s="124"/>
      <c r="N41" s="124"/>
      <c r="O41" s="124"/>
      <c r="P41" s="124">
        <v>2019</v>
      </c>
      <c r="Q41" s="124"/>
      <c r="R41" s="124"/>
      <c r="S41" s="124"/>
      <c r="T41" s="124"/>
      <c r="U41" s="124"/>
      <c r="V41" s="124"/>
      <c r="W41" s="124"/>
      <c r="X41" s="125">
        <v>2020</v>
      </c>
      <c r="Y41" s="126"/>
      <c r="Z41" s="126"/>
      <c r="AA41" s="126"/>
      <c r="AB41" s="126"/>
      <c r="AC41" s="126"/>
      <c r="AD41" s="126"/>
      <c r="AE41" s="127"/>
    </row>
    <row r="42" spans="1:32" x14ac:dyDescent="0.2">
      <c r="A42" s="38"/>
      <c r="B42" s="68" t="s">
        <v>42</v>
      </c>
      <c r="C42" s="68" t="s">
        <v>761</v>
      </c>
      <c r="D42" s="68" t="s">
        <v>47</v>
      </c>
      <c r="E42" s="68" t="s">
        <v>48</v>
      </c>
      <c r="F42" s="68" t="s">
        <v>652</v>
      </c>
      <c r="G42" s="80" t="s">
        <v>43</v>
      </c>
      <c r="H42" s="103" t="s">
        <v>25</v>
      </c>
      <c r="I42" s="103" t="s">
        <v>28</v>
      </c>
      <c r="J42" s="103" t="s">
        <v>27</v>
      </c>
      <c r="K42" s="103" t="s">
        <v>26</v>
      </c>
      <c r="L42" s="103" t="s">
        <v>25</v>
      </c>
      <c r="M42" s="103" t="s">
        <v>28</v>
      </c>
      <c r="N42" s="103" t="s">
        <v>27</v>
      </c>
      <c r="O42" s="103" t="s">
        <v>26</v>
      </c>
      <c r="P42" s="68" t="s">
        <v>52</v>
      </c>
      <c r="Q42" s="38" t="s">
        <v>60</v>
      </c>
      <c r="R42" s="38" t="s">
        <v>62</v>
      </c>
      <c r="S42" s="38" t="s">
        <v>59</v>
      </c>
      <c r="T42" s="38" t="s">
        <v>63</v>
      </c>
      <c r="U42" s="38" t="s">
        <v>49</v>
      </c>
      <c r="V42" s="38" t="s">
        <v>50</v>
      </c>
      <c r="W42" s="38" t="s">
        <v>51</v>
      </c>
      <c r="X42" s="68" t="s">
        <v>52</v>
      </c>
      <c r="Y42" s="38" t="s">
        <v>60</v>
      </c>
      <c r="Z42" s="38" t="s">
        <v>62</v>
      </c>
      <c r="AA42" s="38" t="s">
        <v>59</v>
      </c>
      <c r="AB42" s="38" t="s">
        <v>63</v>
      </c>
      <c r="AC42" s="38" t="s">
        <v>49</v>
      </c>
      <c r="AD42" s="38" t="s">
        <v>50</v>
      </c>
      <c r="AE42" s="38" t="s">
        <v>51</v>
      </c>
      <c r="AF42" s="38" t="s">
        <v>53</v>
      </c>
    </row>
    <row r="43" spans="1:32" ht="22.5" x14ac:dyDescent="0.2">
      <c r="A43" s="38" t="s">
        <v>183</v>
      </c>
      <c r="B43" s="56" t="s">
        <v>674</v>
      </c>
      <c r="C43" s="56">
        <v>29</v>
      </c>
      <c r="D43" s="38"/>
      <c r="E43" s="38" t="s">
        <v>675</v>
      </c>
      <c r="F43" s="38" t="s">
        <v>772</v>
      </c>
      <c r="G43" s="85" t="s">
        <v>187</v>
      </c>
      <c r="H43" s="38"/>
      <c r="I43" s="38"/>
      <c r="J43" s="73"/>
      <c r="K43" s="73"/>
      <c r="L43" s="73"/>
      <c r="M43" s="73"/>
      <c r="N43" s="83"/>
      <c r="O43" s="83"/>
      <c r="P43" s="68">
        <f>SUM(Q43:W43)</f>
        <v>1500</v>
      </c>
      <c r="Q43" s="38"/>
      <c r="R43" s="38"/>
      <c r="S43" s="38"/>
      <c r="T43" s="38"/>
      <c r="U43" s="38"/>
      <c r="V43" s="38">
        <v>1500</v>
      </c>
      <c r="W43" s="38"/>
      <c r="X43" s="68">
        <f>SUM(Y43:AE43)</f>
        <v>1450</v>
      </c>
      <c r="Y43" s="38"/>
      <c r="Z43" s="38"/>
      <c r="AA43" s="38"/>
      <c r="AB43" s="38"/>
      <c r="AC43" s="38"/>
      <c r="AD43" s="38">
        <v>1450</v>
      </c>
      <c r="AE43" s="38"/>
      <c r="AF43" s="38" t="s">
        <v>602</v>
      </c>
    </row>
    <row r="44" spans="1:32" ht="22.5" x14ac:dyDescent="0.2">
      <c r="A44" s="38" t="s">
        <v>184</v>
      </c>
      <c r="B44" s="56" t="s">
        <v>672</v>
      </c>
      <c r="C44" s="56">
        <v>29</v>
      </c>
      <c r="D44" s="38" t="s">
        <v>671</v>
      </c>
      <c r="E44" s="70" t="s">
        <v>676</v>
      </c>
      <c r="F44" s="38" t="s">
        <v>772</v>
      </c>
      <c r="G44" s="85" t="s">
        <v>187</v>
      </c>
      <c r="H44" s="73"/>
      <c r="I44" s="73"/>
      <c r="J44" s="73"/>
      <c r="K44" s="73"/>
      <c r="L44" s="73"/>
      <c r="M44" s="73"/>
      <c r="N44" s="38"/>
      <c r="O44" s="38"/>
      <c r="P44" s="68">
        <f t="shared" ref="P44:P46" si="7">SUM(Q44:W44)</f>
        <v>1500</v>
      </c>
      <c r="Q44" s="38"/>
      <c r="R44" s="38"/>
      <c r="S44" s="38"/>
      <c r="T44" s="38"/>
      <c r="U44" s="38"/>
      <c r="V44" s="38">
        <v>1500</v>
      </c>
      <c r="W44" s="38"/>
      <c r="X44" s="68">
        <f t="shared" ref="X44:X46" si="8">SUM(Y44:AE44)</f>
        <v>1450</v>
      </c>
      <c r="Y44" s="38"/>
      <c r="Z44" s="38"/>
      <c r="AA44" s="38"/>
      <c r="AB44" s="38"/>
      <c r="AC44" s="38"/>
      <c r="AD44" s="38">
        <v>1450</v>
      </c>
      <c r="AE44" s="38"/>
      <c r="AF44" s="38" t="s">
        <v>602</v>
      </c>
    </row>
    <row r="45" spans="1:32" ht="22.5" x14ac:dyDescent="0.2">
      <c r="A45" s="38" t="s">
        <v>185</v>
      </c>
      <c r="B45" s="56" t="s">
        <v>673</v>
      </c>
      <c r="C45" s="56">
        <v>29</v>
      </c>
      <c r="D45" s="38"/>
      <c r="E45" s="70" t="s">
        <v>677</v>
      </c>
      <c r="F45" s="38" t="s">
        <v>772</v>
      </c>
      <c r="G45" s="103" t="s">
        <v>186</v>
      </c>
      <c r="H45" s="73"/>
      <c r="I45" s="73"/>
      <c r="J45" s="73"/>
      <c r="K45" s="73"/>
      <c r="L45" s="73"/>
      <c r="M45" s="73"/>
      <c r="N45" s="73"/>
      <c r="O45" s="73"/>
      <c r="P45" s="68">
        <f t="shared" si="7"/>
        <v>1500</v>
      </c>
      <c r="Q45" s="38"/>
      <c r="R45" s="38"/>
      <c r="S45" s="38"/>
      <c r="T45" s="38"/>
      <c r="U45" s="38"/>
      <c r="V45" s="38">
        <v>1500</v>
      </c>
      <c r="W45" s="38"/>
      <c r="X45" s="68">
        <f t="shared" si="8"/>
        <v>1450</v>
      </c>
      <c r="Y45" s="38"/>
      <c r="Z45" s="38"/>
      <c r="AA45" s="38"/>
      <c r="AB45" s="38"/>
      <c r="AC45" s="38"/>
      <c r="AD45" s="38">
        <v>1450</v>
      </c>
      <c r="AE45" s="38"/>
      <c r="AF45" s="38" t="s">
        <v>104</v>
      </c>
    </row>
    <row r="46" spans="1:32" x14ac:dyDescent="0.2">
      <c r="A46" s="38" t="s">
        <v>196</v>
      </c>
      <c r="B46" s="56" t="s">
        <v>515</v>
      </c>
      <c r="C46" s="56"/>
      <c r="D46" s="38" t="s">
        <v>516</v>
      </c>
      <c r="E46" s="70"/>
      <c r="F46" s="70"/>
      <c r="G46" s="103"/>
      <c r="H46" s="82"/>
      <c r="I46" s="82"/>
      <c r="J46" s="73"/>
      <c r="K46" s="73"/>
      <c r="L46" s="73"/>
      <c r="M46" s="73"/>
      <c r="N46" s="73"/>
      <c r="O46" s="73"/>
      <c r="P46" s="68">
        <f t="shared" si="7"/>
        <v>22.4</v>
      </c>
      <c r="Q46" s="38"/>
      <c r="R46" s="38"/>
      <c r="S46" s="38"/>
      <c r="T46" s="38">
        <v>22.4</v>
      </c>
      <c r="U46" s="38"/>
      <c r="V46" s="38"/>
      <c r="W46" s="38"/>
      <c r="X46" s="68">
        <f t="shared" si="8"/>
        <v>23.9</v>
      </c>
      <c r="Y46" s="38"/>
      <c r="Z46" s="38"/>
      <c r="AA46" s="38"/>
      <c r="AB46" s="38">
        <v>23.9</v>
      </c>
      <c r="AC46" s="38"/>
      <c r="AD46" s="38"/>
      <c r="AE46" s="38"/>
      <c r="AF46" s="38"/>
    </row>
    <row r="47" spans="1:32" x14ac:dyDescent="0.2">
      <c r="G47" s="88"/>
      <c r="O47" s="89" t="s">
        <v>52</v>
      </c>
      <c r="P47" s="90">
        <f>SUM(P43:P46)</f>
        <v>4522.3999999999996</v>
      </c>
      <c r="Q47" s="90">
        <f t="shared" ref="Q47:AE47" si="9">SUM(Q43:Q46)</f>
        <v>0</v>
      </c>
      <c r="R47" s="90">
        <f t="shared" si="9"/>
        <v>0</v>
      </c>
      <c r="S47" s="90">
        <f t="shared" si="9"/>
        <v>0</v>
      </c>
      <c r="T47" s="90">
        <f t="shared" si="9"/>
        <v>22.4</v>
      </c>
      <c r="U47" s="90">
        <f t="shared" si="9"/>
        <v>0</v>
      </c>
      <c r="V47" s="90">
        <f t="shared" si="9"/>
        <v>4500</v>
      </c>
      <c r="W47" s="90">
        <f t="shared" si="9"/>
        <v>0</v>
      </c>
      <c r="X47" s="90">
        <f t="shared" si="9"/>
        <v>4373.8999999999996</v>
      </c>
      <c r="Y47" s="90">
        <f t="shared" si="9"/>
        <v>0</v>
      </c>
      <c r="Z47" s="90">
        <f t="shared" si="9"/>
        <v>0</v>
      </c>
      <c r="AA47" s="90">
        <f t="shared" si="9"/>
        <v>0</v>
      </c>
      <c r="AB47" s="90">
        <f t="shared" si="9"/>
        <v>23.9</v>
      </c>
      <c r="AC47" s="90">
        <f t="shared" si="9"/>
        <v>0</v>
      </c>
      <c r="AD47" s="90">
        <f t="shared" si="9"/>
        <v>4350</v>
      </c>
      <c r="AE47" s="90">
        <f t="shared" si="9"/>
        <v>0</v>
      </c>
    </row>
    <row r="51" spans="1:32" x14ac:dyDescent="0.2">
      <c r="A51" s="67">
        <v>3.4</v>
      </c>
      <c r="B51" s="67" t="s">
        <v>188</v>
      </c>
      <c r="C51" s="67"/>
    </row>
    <row r="52" spans="1:32" x14ac:dyDescent="0.2">
      <c r="A52" s="42">
        <v>30</v>
      </c>
      <c r="B52" s="40" t="s">
        <v>189</v>
      </c>
      <c r="C52" s="40"/>
    </row>
    <row r="53" spans="1:32" x14ac:dyDescent="0.2">
      <c r="A53" s="42">
        <v>31</v>
      </c>
      <c r="B53" s="40" t="s">
        <v>190</v>
      </c>
      <c r="C53" s="40"/>
    </row>
    <row r="54" spans="1:32" x14ac:dyDescent="0.2">
      <c r="H54" s="122" t="s">
        <v>58</v>
      </c>
      <c r="I54" s="122"/>
      <c r="J54" s="122"/>
      <c r="K54" s="122"/>
      <c r="L54" s="122"/>
      <c r="M54" s="122"/>
      <c r="N54" s="122"/>
      <c r="O54" s="122"/>
      <c r="P54" s="123" t="s">
        <v>61</v>
      </c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</row>
    <row r="55" spans="1:32" x14ac:dyDescent="0.2">
      <c r="H55" s="124">
        <v>2019</v>
      </c>
      <c r="I55" s="124"/>
      <c r="J55" s="124"/>
      <c r="K55" s="124"/>
      <c r="L55" s="124">
        <v>2020</v>
      </c>
      <c r="M55" s="124"/>
      <c r="N55" s="124"/>
      <c r="O55" s="124"/>
      <c r="P55" s="124">
        <v>2019</v>
      </c>
      <c r="Q55" s="124"/>
      <c r="R55" s="124"/>
      <c r="S55" s="124"/>
      <c r="T55" s="124"/>
      <c r="U55" s="124"/>
      <c r="V55" s="124"/>
      <c r="W55" s="124"/>
      <c r="X55" s="125">
        <v>2020</v>
      </c>
      <c r="Y55" s="126"/>
      <c r="Z55" s="126"/>
      <c r="AA55" s="126"/>
      <c r="AB55" s="126"/>
      <c r="AC55" s="126"/>
      <c r="AD55" s="126"/>
      <c r="AE55" s="127"/>
    </row>
    <row r="56" spans="1:32" x14ac:dyDescent="0.2">
      <c r="A56" s="38"/>
      <c r="B56" s="68" t="s">
        <v>42</v>
      </c>
      <c r="C56" s="68" t="s">
        <v>761</v>
      </c>
      <c r="D56" s="68" t="s">
        <v>47</v>
      </c>
      <c r="E56" s="68" t="s">
        <v>48</v>
      </c>
      <c r="F56" s="68"/>
      <c r="G56" s="80" t="s">
        <v>43</v>
      </c>
      <c r="H56" s="103" t="s">
        <v>25</v>
      </c>
      <c r="I56" s="103" t="s">
        <v>28</v>
      </c>
      <c r="J56" s="103" t="s">
        <v>27</v>
      </c>
      <c r="K56" s="103" t="s">
        <v>26</v>
      </c>
      <c r="L56" s="103" t="s">
        <v>25</v>
      </c>
      <c r="M56" s="103" t="s">
        <v>28</v>
      </c>
      <c r="N56" s="103" t="s">
        <v>27</v>
      </c>
      <c r="O56" s="103" t="s">
        <v>26</v>
      </c>
      <c r="P56" s="68" t="s">
        <v>52</v>
      </c>
      <c r="Q56" s="38" t="s">
        <v>60</v>
      </c>
      <c r="R56" s="38" t="s">
        <v>62</v>
      </c>
      <c r="S56" s="38" t="s">
        <v>59</v>
      </c>
      <c r="T56" s="38" t="s">
        <v>63</v>
      </c>
      <c r="U56" s="38" t="s">
        <v>49</v>
      </c>
      <c r="V56" s="38" t="s">
        <v>50</v>
      </c>
      <c r="W56" s="38" t="s">
        <v>51</v>
      </c>
      <c r="X56" s="68" t="s">
        <v>52</v>
      </c>
      <c r="Y56" s="38" t="s">
        <v>60</v>
      </c>
      <c r="Z56" s="38" t="s">
        <v>62</v>
      </c>
      <c r="AA56" s="38" t="s">
        <v>59</v>
      </c>
      <c r="AB56" s="38" t="s">
        <v>63</v>
      </c>
      <c r="AC56" s="38" t="s">
        <v>49</v>
      </c>
      <c r="AD56" s="38" t="s">
        <v>50</v>
      </c>
      <c r="AE56" s="38" t="s">
        <v>51</v>
      </c>
      <c r="AF56" s="38" t="s">
        <v>53</v>
      </c>
    </row>
    <row r="57" spans="1:32" ht="22.5" x14ac:dyDescent="0.2">
      <c r="A57" s="38" t="s">
        <v>183</v>
      </c>
      <c r="B57" s="56" t="s">
        <v>195</v>
      </c>
      <c r="C57" s="56">
        <v>30</v>
      </c>
      <c r="D57" s="56" t="s">
        <v>206</v>
      </c>
      <c r="E57" s="91">
        <v>1</v>
      </c>
      <c r="F57" s="91"/>
      <c r="G57" s="103" t="s">
        <v>203</v>
      </c>
      <c r="H57" s="38"/>
      <c r="I57" s="38"/>
      <c r="J57" s="73"/>
      <c r="K57" s="73"/>
      <c r="L57" s="73"/>
      <c r="M57" s="73"/>
      <c r="N57" s="83"/>
      <c r="O57" s="83"/>
      <c r="P57" s="38">
        <f>SUM(Q57:W57)</f>
        <v>23912.799999999999</v>
      </c>
      <c r="Q57" s="38">
        <f>16165-1965</f>
        <v>14200</v>
      </c>
      <c r="R57" s="38"/>
      <c r="S57" s="38"/>
      <c r="T57" s="38"/>
      <c r="U57" s="38"/>
      <c r="V57" s="38">
        <v>600</v>
      </c>
      <c r="W57" s="38">
        <v>9112.7999999999993</v>
      </c>
      <c r="X57" s="38">
        <f>SUM(Y57:AE57)</f>
        <v>23873.8</v>
      </c>
      <c r="Y57" s="38">
        <f>16126-1965</f>
        <v>14161</v>
      </c>
      <c r="Z57" s="38"/>
      <c r="AA57" s="38"/>
      <c r="AB57" s="38"/>
      <c r="AC57" s="38"/>
      <c r="AD57" s="38">
        <v>600</v>
      </c>
      <c r="AE57" s="38">
        <f>W57</f>
        <v>9112.7999999999993</v>
      </c>
      <c r="AF57" s="38"/>
    </row>
    <row r="58" spans="1:32" x14ac:dyDescent="0.2">
      <c r="A58" s="38" t="s">
        <v>184</v>
      </c>
      <c r="B58" s="38" t="s">
        <v>194</v>
      </c>
      <c r="C58" s="56">
        <v>30</v>
      </c>
      <c r="D58" s="38"/>
      <c r="E58" s="70"/>
      <c r="F58" s="70"/>
      <c r="G58" s="103" t="s">
        <v>203</v>
      </c>
      <c r="H58" s="73"/>
      <c r="I58" s="73"/>
      <c r="J58" s="73"/>
      <c r="K58" s="73"/>
      <c r="L58" s="38"/>
      <c r="M58" s="38"/>
      <c r="N58" s="38"/>
      <c r="O58" s="38"/>
      <c r="P58" s="38">
        <f t="shared" ref="P58:P64" si="10">SUM(Q58:W58)</f>
        <v>500</v>
      </c>
      <c r="Q58" s="38">
        <v>500</v>
      </c>
      <c r="R58" s="38"/>
      <c r="S58" s="38"/>
      <c r="T58" s="38"/>
      <c r="U58" s="38"/>
      <c r="V58" s="38"/>
      <c r="W58" s="38"/>
      <c r="X58" s="38">
        <f t="shared" ref="X58:X64" si="11">SUM(Y58:AE58)</f>
        <v>500</v>
      </c>
      <c r="Y58" s="38">
        <v>500</v>
      </c>
      <c r="Z58" s="38"/>
      <c r="AA58" s="38"/>
      <c r="AB58" s="38"/>
      <c r="AC58" s="38"/>
      <c r="AD58" s="38"/>
      <c r="AE58" s="38"/>
      <c r="AF58" s="38"/>
    </row>
    <row r="59" spans="1:32" ht="22.5" x14ac:dyDescent="0.2">
      <c r="A59" s="38" t="s">
        <v>185</v>
      </c>
      <c r="B59" s="56" t="s">
        <v>191</v>
      </c>
      <c r="C59" s="56">
        <v>30</v>
      </c>
      <c r="D59" s="38"/>
      <c r="E59" s="70"/>
      <c r="F59" s="70"/>
      <c r="G59" s="103" t="s">
        <v>203</v>
      </c>
      <c r="H59" s="82"/>
      <c r="I59" s="82"/>
      <c r="J59" s="73"/>
      <c r="K59" s="73"/>
      <c r="L59" s="73"/>
      <c r="M59" s="73"/>
      <c r="N59" s="73"/>
      <c r="O59" s="73"/>
      <c r="P59" s="38">
        <f t="shared" si="10"/>
        <v>300</v>
      </c>
      <c r="Q59" s="38">
        <v>300</v>
      </c>
      <c r="R59" s="38"/>
      <c r="S59" s="38"/>
      <c r="T59" s="38"/>
      <c r="U59" s="38"/>
      <c r="V59" s="38"/>
      <c r="W59" s="38"/>
      <c r="X59" s="38">
        <f t="shared" si="11"/>
        <v>300</v>
      </c>
      <c r="Y59" s="38">
        <v>300</v>
      </c>
      <c r="Z59" s="38"/>
      <c r="AA59" s="38"/>
      <c r="AB59" s="38"/>
      <c r="AC59" s="38"/>
      <c r="AD59" s="38"/>
      <c r="AE59" s="38"/>
      <c r="AF59" s="38"/>
    </row>
    <row r="60" spans="1:32" ht="22.5" x14ac:dyDescent="0.2">
      <c r="A60" s="38" t="s">
        <v>196</v>
      </c>
      <c r="B60" s="38" t="s">
        <v>201</v>
      </c>
      <c r="C60" s="56">
        <v>30</v>
      </c>
      <c r="D60" s="56" t="s">
        <v>202</v>
      </c>
      <c r="E60" s="91">
        <v>1</v>
      </c>
      <c r="F60" s="91"/>
      <c r="G60" s="103" t="s">
        <v>204</v>
      </c>
      <c r="H60" s="38"/>
      <c r="I60" s="86"/>
      <c r="J60" s="86"/>
      <c r="K60" s="38"/>
      <c r="L60" s="38"/>
      <c r="M60" s="86"/>
      <c r="N60" s="86"/>
      <c r="O60" s="38"/>
      <c r="P60" s="38">
        <f t="shared" si="10"/>
        <v>250</v>
      </c>
      <c r="Q60" s="38">
        <v>250</v>
      </c>
      <c r="R60" s="38"/>
      <c r="S60" s="38"/>
      <c r="T60" s="38"/>
      <c r="U60" s="38"/>
      <c r="V60" s="38"/>
      <c r="W60" s="38"/>
      <c r="X60" s="38">
        <f t="shared" si="11"/>
        <v>300</v>
      </c>
      <c r="Y60" s="38">
        <v>300</v>
      </c>
      <c r="Z60" s="38"/>
      <c r="AA60" s="38"/>
      <c r="AB60" s="38"/>
      <c r="AC60" s="38"/>
      <c r="AD60" s="38"/>
      <c r="AE60" s="38"/>
      <c r="AF60" s="38"/>
    </row>
    <row r="61" spans="1:32" ht="22.5" x14ac:dyDescent="0.2">
      <c r="A61" s="38" t="s">
        <v>197</v>
      </c>
      <c r="B61" s="56" t="s">
        <v>192</v>
      </c>
      <c r="C61" s="56">
        <v>30</v>
      </c>
      <c r="D61" s="38"/>
      <c r="E61" s="38"/>
      <c r="F61" s="38"/>
      <c r="G61" s="103" t="s">
        <v>203</v>
      </c>
      <c r="H61" s="38"/>
      <c r="I61" s="86"/>
      <c r="J61" s="86"/>
      <c r="K61" s="38"/>
      <c r="L61" s="38"/>
      <c r="M61" s="86"/>
      <c r="N61" s="86"/>
      <c r="O61" s="38"/>
      <c r="P61" s="38">
        <f t="shared" si="10"/>
        <v>50</v>
      </c>
      <c r="Q61" s="38">
        <v>50</v>
      </c>
      <c r="R61" s="38"/>
      <c r="S61" s="38"/>
      <c r="T61" s="38"/>
      <c r="U61" s="38"/>
      <c r="V61" s="38"/>
      <c r="W61" s="38"/>
      <c r="X61" s="38">
        <f t="shared" si="11"/>
        <v>0</v>
      </c>
      <c r="Y61" s="38"/>
      <c r="Z61" s="38"/>
      <c r="AA61" s="38"/>
      <c r="AB61" s="38"/>
      <c r="AC61" s="38"/>
      <c r="AD61" s="38"/>
      <c r="AE61" s="38"/>
      <c r="AF61" s="38"/>
    </row>
    <row r="62" spans="1:32" ht="56.25" x14ac:dyDescent="0.2">
      <c r="A62" s="38" t="s">
        <v>198</v>
      </c>
      <c r="B62" s="56" t="s">
        <v>699</v>
      </c>
      <c r="C62" s="56">
        <v>30</v>
      </c>
      <c r="D62" s="56" t="s">
        <v>713</v>
      </c>
      <c r="E62" s="56" t="s">
        <v>748</v>
      </c>
      <c r="F62" s="56"/>
      <c r="G62" s="103" t="s">
        <v>203</v>
      </c>
      <c r="H62" s="86"/>
      <c r="I62" s="86"/>
      <c r="J62" s="38"/>
      <c r="K62" s="38"/>
      <c r="L62" s="38"/>
      <c r="M62" s="86"/>
      <c r="N62" s="86"/>
      <c r="O62" s="38"/>
      <c r="P62" s="38">
        <f t="shared" si="10"/>
        <v>400</v>
      </c>
      <c r="Q62" s="38">
        <v>400</v>
      </c>
      <c r="R62" s="38"/>
      <c r="S62" s="38"/>
      <c r="T62" s="38"/>
      <c r="U62" s="38"/>
      <c r="V62" s="38"/>
      <c r="W62" s="38"/>
      <c r="X62" s="38">
        <f t="shared" si="11"/>
        <v>400</v>
      </c>
      <c r="Y62" s="38">
        <v>400</v>
      </c>
      <c r="Z62" s="38"/>
      <c r="AA62" s="38"/>
      <c r="AB62" s="38"/>
      <c r="AC62" s="38"/>
      <c r="AD62" s="38"/>
      <c r="AE62" s="38"/>
      <c r="AF62" s="38"/>
    </row>
    <row r="63" spans="1:32" ht="33.75" x14ac:dyDescent="0.2">
      <c r="A63" s="38" t="s">
        <v>199</v>
      </c>
      <c r="B63" s="56" t="s">
        <v>193</v>
      </c>
      <c r="C63" s="56">
        <v>30</v>
      </c>
      <c r="D63" s="56" t="s">
        <v>200</v>
      </c>
      <c r="E63" s="38"/>
      <c r="F63" s="38"/>
      <c r="G63" s="103" t="s">
        <v>205</v>
      </c>
      <c r="H63" s="38"/>
      <c r="I63" s="38"/>
      <c r="J63" s="86"/>
      <c r="K63" s="86"/>
      <c r="L63" s="86"/>
      <c r="M63" s="86"/>
      <c r="N63" s="38"/>
      <c r="O63" s="38"/>
      <c r="P63" s="38">
        <f t="shared" si="10"/>
        <v>200</v>
      </c>
      <c r="Q63" s="38">
        <v>200</v>
      </c>
      <c r="R63" s="38"/>
      <c r="S63" s="38"/>
      <c r="T63" s="38"/>
      <c r="U63" s="38"/>
      <c r="V63" s="38"/>
      <c r="W63" s="38"/>
      <c r="X63" s="38">
        <f t="shared" si="11"/>
        <v>200</v>
      </c>
      <c r="Y63" s="38">
        <v>200</v>
      </c>
      <c r="Z63" s="38"/>
      <c r="AA63" s="38"/>
      <c r="AB63" s="38"/>
      <c r="AC63" s="38"/>
      <c r="AD63" s="38"/>
      <c r="AE63" s="38"/>
      <c r="AF63" s="38"/>
    </row>
    <row r="64" spans="1:32" x14ac:dyDescent="0.2">
      <c r="A64" s="38" t="s">
        <v>259</v>
      </c>
      <c r="B64" s="38" t="s">
        <v>517</v>
      </c>
      <c r="C64" s="38"/>
      <c r="D64" s="38"/>
      <c r="E64" s="38"/>
      <c r="F64" s="38"/>
      <c r="G64" s="38" t="s">
        <v>203</v>
      </c>
      <c r="H64" s="86"/>
      <c r="I64" s="86"/>
      <c r="J64" s="86"/>
      <c r="K64" s="86"/>
      <c r="L64" s="86"/>
      <c r="M64" s="86"/>
      <c r="N64" s="86"/>
      <c r="O64" s="86"/>
      <c r="P64" s="38">
        <f t="shared" si="10"/>
        <v>3036</v>
      </c>
      <c r="Q64" s="38">
        <f>771+255+1710</f>
        <v>2736</v>
      </c>
      <c r="R64" s="38"/>
      <c r="S64" s="38"/>
      <c r="T64" s="38"/>
      <c r="U64" s="38"/>
      <c r="V64" s="38">
        <v>300</v>
      </c>
      <c r="W64" s="38"/>
      <c r="X64" s="38">
        <f t="shared" si="11"/>
        <v>2736</v>
      </c>
      <c r="Y64" s="38">
        <f>Q64</f>
        <v>2736</v>
      </c>
      <c r="Z64" s="38"/>
      <c r="AA64" s="38"/>
      <c r="AB64" s="38"/>
      <c r="AC64" s="38"/>
      <c r="AD64" s="38"/>
      <c r="AE64" s="38"/>
      <c r="AF64" s="38"/>
    </row>
    <row r="65" spans="2:31" x14ac:dyDescent="0.2">
      <c r="B65" s="106"/>
      <c r="C65" s="107"/>
      <c r="O65" s="89" t="s">
        <v>52</v>
      </c>
      <c r="P65" s="90">
        <f>SUM(P57:P64)</f>
        <v>28648.799999999999</v>
      </c>
      <c r="Q65" s="90">
        <f t="shared" ref="Q65:AE65" si="12">SUM(Q57:Q64)</f>
        <v>18636</v>
      </c>
      <c r="R65" s="90">
        <f t="shared" si="12"/>
        <v>0</v>
      </c>
      <c r="S65" s="90">
        <f t="shared" si="12"/>
        <v>0</v>
      </c>
      <c r="T65" s="90">
        <f t="shared" si="12"/>
        <v>0</v>
      </c>
      <c r="U65" s="90">
        <f t="shared" si="12"/>
        <v>0</v>
      </c>
      <c r="V65" s="90">
        <f t="shared" si="12"/>
        <v>900</v>
      </c>
      <c r="W65" s="90">
        <f t="shared" si="12"/>
        <v>9112.7999999999993</v>
      </c>
      <c r="X65" s="90">
        <f t="shared" si="12"/>
        <v>28309.8</v>
      </c>
      <c r="Y65" s="90">
        <f t="shared" si="12"/>
        <v>18597</v>
      </c>
      <c r="Z65" s="90">
        <f t="shared" si="12"/>
        <v>0</v>
      </c>
      <c r="AA65" s="90">
        <f t="shared" si="12"/>
        <v>0</v>
      </c>
      <c r="AB65" s="90">
        <f t="shared" si="12"/>
        <v>0</v>
      </c>
      <c r="AC65" s="90">
        <f t="shared" si="12"/>
        <v>0</v>
      </c>
      <c r="AD65" s="90">
        <f t="shared" si="12"/>
        <v>600</v>
      </c>
      <c r="AE65" s="90">
        <f t="shared" si="12"/>
        <v>9112.7999999999993</v>
      </c>
    </row>
    <row r="66" spans="2:31" x14ac:dyDescent="0.2">
      <c r="E66" s="42">
        <f>1710+255</f>
        <v>1965</v>
      </c>
    </row>
    <row r="68" spans="2:31" x14ac:dyDescent="0.2">
      <c r="G68" s="79" t="s">
        <v>534</v>
      </c>
      <c r="N68" s="42" t="s">
        <v>534</v>
      </c>
    </row>
    <row r="69" spans="2:31" x14ac:dyDescent="0.2">
      <c r="P69" s="42" t="str">
        <f t="shared" ref="P69:AE69" si="13">P42</f>
        <v>Total</v>
      </c>
      <c r="Q69" s="42" t="str">
        <f t="shared" si="13"/>
        <v>Recurr.</v>
      </c>
      <c r="R69" s="42" t="str">
        <f t="shared" si="13"/>
        <v>Dev.</v>
      </c>
      <c r="S69" s="42" t="str">
        <f t="shared" si="13"/>
        <v>Prov.</v>
      </c>
      <c r="T69" s="42" t="str">
        <f t="shared" si="13"/>
        <v>Dept</v>
      </c>
      <c r="U69" s="42" t="str">
        <f t="shared" si="13"/>
        <v>TFF</v>
      </c>
      <c r="V69" s="42" t="str">
        <f t="shared" si="13"/>
        <v>DP</v>
      </c>
      <c r="W69" s="42" t="str">
        <f t="shared" si="13"/>
        <v>Gap</v>
      </c>
      <c r="X69" s="42" t="str">
        <f t="shared" si="13"/>
        <v>Total</v>
      </c>
      <c r="Y69" s="42" t="str">
        <f t="shared" si="13"/>
        <v>Recurr.</v>
      </c>
      <c r="Z69" s="42" t="str">
        <f t="shared" si="13"/>
        <v>Dev.</v>
      </c>
      <c r="AA69" s="42" t="str">
        <f t="shared" si="13"/>
        <v>Prov.</v>
      </c>
      <c r="AB69" s="42" t="str">
        <f t="shared" si="13"/>
        <v>Dept</v>
      </c>
      <c r="AC69" s="42" t="str">
        <f t="shared" si="13"/>
        <v>TFF</v>
      </c>
      <c r="AD69" s="42" t="str">
        <f t="shared" si="13"/>
        <v>DP</v>
      </c>
      <c r="AE69" s="42" t="str">
        <f t="shared" si="13"/>
        <v>Gap</v>
      </c>
    </row>
    <row r="70" spans="2:31" x14ac:dyDescent="0.2">
      <c r="P70" s="42">
        <f>P47+P36+P22+P65</f>
        <v>337147.96666666667</v>
      </c>
      <c r="Q70" s="42">
        <f t="shared" ref="Q70:AE70" si="14">Q47+Q36+Q22+Q65</f>
        <v>41286.300000000003</v>
      </c>
      <c r="R70" s="42">
        <f t="shared" si="14"/>
        <v>0</v>
      </c>
      <c r="S70" s="42">
        <f t="shared" si="14"/>
        <v>53151.9</v>
      </c>
      <c r="T70" s="42">
        <f t="shared" si="14"/>
        <v>22.4</v>
      </c>
      <c r="U70" s="42">
        <f t="shared" si="14"/>
        <v>174672</v>
      </c>
      <c r="V70" s="42">
        <f t="shared" si="14"/>
        <v>44581.666666666664</v>
      </c>
      <c r="W70" s="42">
        <f t="shared" si="14"/>
        <v>23433.699999999997</v>
      </c>
      <c r="X70" s="42">
        <f t="shared" si="14"/>
        <v>321259.40000000002</v>
      </c>
      <c r="Y70" s="42">
        <f t="shared" si="14"/>
        <v>42690.2</v>
      </c>
      <c r="Z70" s="42">
        <f t="shared" si="14"/>
        <v>0</v>
      </c>
      <c r="AA70" s="42">
        <f t="shared" si="14"/>
        <v>53151.9</v>
      </c>
      <c r="AB70" s="42">
        <f t="shared" si="14"/>
        <v>23.9</v>
      </c>
      <c r="AC70" s="42">
        <f t="shared" si="14"/>
        <v>186482</v>
      </c>
      <c r="AD70" s="42">
        <f t="shared" si="14"/>
        <v>44144.666666666664</v>
      </c>
      <c r="AE70" s="42">
        <f t="shared" si="14"/>
        <v>23433.4</v>
      </c>
    </row>
  </sheetData>
  <mergeCells count="24">
    <mergeCell ref="H9:O9"/>
    <mergeCell ref="P9:AE9"/>
    <mergeCell ref="H10:K10"/>
    <mergeCell ref="L10:O10"/>
    <mergeCell ref="P10:W10"/>
    <mergeCell ref="X10:AE10"/>
    <mergeCell ref="H27:O27"/>
    <mergeCell ref="P27:AE27"/>
    <mergeCell ref="H28:K28"/>
    <mergeCell ref="L28:O28"/>
    <mergeCell ref="P28:W28"/>
    <mergeCell ref="X28:AE28"/>
    <mergeCell ref="H40:O40"/>
    <mergeCell ref="P40:AE40"/>
    <mergeCell ref="H41:K41"/>
    <mergeCell ref="L41:O41"/>
    <mergeCell ref="P41:W41"/>
    <mergeCell ref="X41:AE41"/>
    <mergeCell ref="H54:O54"/>
    <mergeCell ref="P54:AE54"/>
    <mergeCell ref="H55:K55"/>
    <mergeCell ref="L55:O55"/>
    <mergeCell ref="P55:W55"/>
    <mergeCell ref="X55:AE5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58"/>
  <sheetViews>
    <sheetView zoomScale="115" zoomScaleNormal="115" workbookViewId="0">
      <selection activeCell="B16" sqref="A1:AI54"/>
    </sheetView>
  </sheetViews>
  <sheetFormatPr defaultColWidth="8.85546875" defaultRowHeight="11.25" x14ac:dyDescent="0.2"/>
  <cols>
    <col min="1" max="1" width="3.85546875" style="4" customWidth="1"/>
    <col min="2" max="2" width="34.85546875" style="4" customWidth="1"/>
    <col min="3" max="3" width="7.5703125" style="47" customWidth="1"/>
    <col min="4" max="4" width="25.42578125" style="4" customWidth="1"/>
    <col min="5" max="5" width="20.85546875" style="4" customWidth="1"/>
    <col min="6" max="6" width="7.42578125" style="47" customWidth="1"/>
    <col min="7" max="7" width="8.5703125" style="6" customWidth="1"/>
    <col min="8" max="15" width="3.140625" style="4" customWidth="1"/>
    <col min="16" max="31" width="4.140625" style="4" customWidth="1"/>
    <col min="32" max="32" width="29.42578125" style="4" customWidth="1"/>
    <col min="33" max="16384" width="8.85546875" style="4"/>
  </cols>
  <sheetData>
    <row r="1" spans="1:35" ht="12.75" thickBot="1" x14ac:dyDescent="0.25">
      <c r="A1" s="76">
        <v>4</v>
      </c>
      <c r="B1" s="77" t="s">
        <v>40</v>
      </c>
      <c r="C1" s="77"/>
      <c r="D1" s="78" t="s">
        <v>303</v>
      </c>
      <c r="E1" s="42"/>
      <c r="F1" s="42"/>
      <c r="G1" s="79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</row>
    <row r="2" spans="1:35" x14ac:dyDescent="0.2">
      <c r="A2" s="67">
        <v>4.0999999999999996</v>
      </c>
      <c r="B2" s="67" t="s">
        <v>304</v>
      </c>
      <c r="C2" s="67"/>
      <c r="D2" s="42"/>
      <c r="E2" s="42"/>
      <c r="F2" s="42"/>
      <c r="G2" s="79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</row>
    <row r="3" spans="1:35" x14ac:dyDescent="0.2">
      <c r="A3" s="42">
        <v>32</v>
      </c>
      <c r="B3" s="40" t="s">
        <v>308</v>
      </c>
      <c r="C3" s="40"/>
      <c r="D3" s="42"/>
      <c r="E3" s="42"/>
      <c r="F3" s="42"/>
      <c r="G3" s="79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x14ac:dyDescent="0.2">
      <c r="A4" s="42">
        <v>33</v>
      </c>
      <c r="B4" s="40" t="s">
        <v>309</v>
      </c>
      <c r="C4" s="40"/>
      <c r="D4" s="42"/>
      <c r="E4" s="42"/>
      <c r="F4" s="42"/>
      <c r="G4" s="79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</row>
    <row r="5" spans="1:35" x14ac:dyDescent="0.2">
      <c r="A5" s="42">
        <v>34</v>
      </c>
      <c r="B5" s="40" t="s">
        <v>305</v>
      </c>
      <c r="C5" s="40"/>
      <c r="D5" s="42"/>
      <c r="E5" s="42"/>
      <c r="F5" s="42"/>
      <c r="G5" s="79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</row>
    <row r="6" spans="1:35" x14ac:dyDescent="0.2">
      <c r="A6" s="42">
        <v>35</v>
      </c>
      <c r="B6" s="40" t="s">
        <v>306</v>
      </c>
      <c r="C6" s="40"/>
      <c r="D6" s="42"/>
      <c r="E6" s="42"/>
      <c r="F6" s="42"/>
      <c r="G6" s="79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</row>
    <row r="7" spans="1:35" x14ac:dyDescent="0.2">
      <c r="A7" s="42">
        <v>36</v>
      </c>
      <c r="B7" s="40" t="s">
        <v>307</v>
      </c>
      <c r="C7" s="40"/>
      <c r="D7" s="42"/>
      <c r="E7" s="42"/>
      <c r="F7" s="42"/>
      <c r="G7" s="79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</row>
    <row r="8" spans="1:35" x14ac:dyDescent="0.2">
      <c r="A8" s="42">
        <v>37</v>
      </c>
      <c r="B8" s="40" t="s">
        <v>310</v>
      </c>
      <c r="C8" s="40"/>
      <c r="D8" s="42"/>
      <c r="E8" s="42"/>
      <c r="F8" s="42"/>
      <c r="G8" s="79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</row>
    <row r="9" spans="1:35" x14ac:dyDescent="0.2">
      <c r="A9" s="42">
        <v>38</v>
      </c>
      <c r="B9" s="40" t="s">
        <v>311</v>
      </c>
      <c r="C9" s="40"/>
      <c r="D9" s="42"/>
      <c r="E9" s="42"/>
      <c r="F9" s="42"/>
      <c r="G9" s="79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</row>
    <row r="10" spans="1:35" x14ac:dyDescent="0.2">
      <c r="A10" s="42">
        <v>39</v>
      </c>
      <c r="B10" s="40" t="s">
        <v>312</v>
      </c>
      <c r="C10" s="40"/>
      <c r="D10" s="42"/>
      <c r="E10" s="42"/>
      <c r="F10" s="42"/>
      <c r="G10" s="79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</row>
    <row r="11" spans="1:35" x14ac:dyDescent="0.2">
      <c r="A11" s="42">
        <v>68</v>
      </c>
      <c r="B11" s="40" t="s">
        <v>122</v>
      </c>
      <c r="C11" s="40"/>
      <c r="D11" s="42"/>
      <c r="E11" s="42"/>
      <c r="F11" s="42"/>
      <c r="G11" s="79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spans="1:35" x14ac:dyDescent="0.2">
      <c r="A12" s="42"/>
      <c r="B12" s="42"/>
      <c r="C12" s="42"/>
      <c r="D12" s="42"/>
      <c r="E12" s="42"/>
      <c r="F12" s="42"/>
      <c r="G12" s="79"/>
      <c r="H12" s="122" t="s">
        <v>58</v>
      </c>
      <c r="I12" s="122"/>
      <c r="J12" s="122"/>
      <c r="K12" s="122"/>
      <c r="L12" s="122"/>
      <c r="M12" s="122"/>
      <c r="N12" s="122"/>
      <c r="O12" s="122"/>
      <c r="P12" s="123" t="s">
        <v>61</v>
      </c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42"/>
      <c r="AG12" s="42"/>
      <c r="AH12" s="42"/>
      <c r="AI12" s="42"/>
    </row>
    <row r="13" spans="1:35" ht="12" customHeight="1" x14ac:dyDescent="0.2">
      <c r="A13" s="42"/>
      <c r="B13" s="42"/>
      <c r="C13" s="42"/>
      <c r="D13" s="42"/>
      <c r="E13" s="42"/>
      <c r="F13" s="42"/>
      <c r="G13" s="79"/>
      <c r="H13" s="124">
        <v>2019</v>
      </c>
      <c r="I13" s="124"/>
      <c r="J13" s="124"/>
      <c r="K13" s="124"/>
      <c r="L13" s="124">
        <v>2020</v>
      </c>
      <c r="M13" s="124"/>
      <c r="N13" s="124"/>
      <c r="O13" s="124"/>
      <c r="P13" s="124">
        <v>2019</v>
      </c>
      <c r="Q13" s="124"/>
      <c r="R13" s="124"/>
      <c r="S13" s="124"/>
      <c r="T13" s="124"/>
      <c r="U13" s="124"/>
      <c r="V13" s="124"/>
      <c r="W13" s="124"/>
      <c r="X13" s="125">
        <v>2020</v>
      </c>
      <c r="Y13" s="126"/>
      <c r="Z13" s="126"/>
      <c r="AA13" s="126"/>
      <c r="AB13" s="126"/>
      <c r="AC13" s="126"/>
      <c r="AD13" s="126"/>
      <c r="AE13" s="127"/>
      <c r="AF13" s="42"/>
      <c r="AG13" s="42"/>
      <c r="AH13" s="42"/>
      <c r="AI13" s="42"/>
    </row>
    <row r="14" spans="1:35" x14ac:dyDescent="0.2">
      <c r="A14" s="38"/>
      <c r="B14" s="68" t="s">
        <v>42</v>
      </c>
      <c r="C14" s="68" t="s">
        <v>761</v>
      </c>
      <c r="D14" s="68" t="s">
        <v>47</v>
      </c>
      <c r="E14" s="68" t="s">
        <v>48</v>
      </c>
      <c r="F14" s="68" t="s">
        <v>774</v>
      </c>
      <c r="G14" s="80" t="s">
        <v>43</v>
      </c>
      <c r="H14" s="103" t="s">
        <v>25</v>
      </c>
      <c r="I14" s="103" t="s">
        <v>28</v>
      </c>
      <c r="J14" s="103" t="s">
        <v>27</v>
      </c>
      <c r="K14" s="103" t="s">
        <v>26</v>
      </c>
      <c r="L14" s="103" t="s">
        <v>25</v>
      </c>
      <c r="M14" s="103" t="s">
        <v>28</v>
      </c>
      <c r="N14" s="103" t="s">
        <v>27</v>
      </c>
      <c r="O14" s="103" t="s">
        <v>26</v>
      </c>
      <c r="P14" s="68" t="s">
        <v>52</v>
      </c>
      <c r="Q14" s="38" t="s">
        <v>60</v>
      </c>
      <c r="R14" s="38" t="s">
        <v>62</v>
      </c>
      <c r="S14" s="38" t="s">
        <v>59</v>
      </c>
      <c r="T14" s="38" t="s">
        <v>63</v>
      </c>
      <c r="U14" s="38" t="s">
        <v>49</v>
      </c>
      <c r="V14" s="38" t="s">
        <v>50</v>
      </c>
      <c r="W14" s="38" t="s">
        <v>51</v>
      </c>
      <c r="X14" s="68" t="s">
        <v>52</v>
      </c>
      <c r="Y14" s="38" t="s">
        <v>60</v>
      </c>
      <c r="Z14" s="38" t="s">
        <v>62</v>
      </c>
      <c r="AA14" s="38" t="s">
        <v>59</v>
      </c>
      <c r="AB14" s="38" t="s">
        <v>63</v>
      </c>
      <c r="AC14" s="38" t="s">
        <v>49</v>
      </c>
      <c r="AD14" s="38" t="s">
        <v>50</v>
      </c>
      <c r="AE14" s="38" t="s">
        <v>51</v>
      </c>
      <c r="AF14" s="38" t="s">
        <v>53</v>
      </c>
      <c r="AG14" s="42"/>
      <c r="AH14" s="42"/>
      <c r="AI14" s="42"/>
    </row>
    <row r="15" spans="1:35" ht="33.75" x14ac:dyDescent="0.2">
      <c r="A15" s="38" t="s">
        <v>316</v>
      </c>
      <c r="B15" s="56" t="s">
        <v>330</v>
      </c>
      <c r="C15" s="56">
        <v>32</v>
      </c>
      <c r="D15" s="56" t="s">
        <v>334</v>
      </c>
      <c r="E15" s="70" t="s">
        <v>335</v>
      </c>
      <c r="F15" s="70" t="s">
        <v>652</v>
      </c>
      <c r="G15" s="103" t="s">
        <v>333</v>
      </c>
      <c r="H15" s="73"/>
      <c r="I15" s="73"/>
      <c r="J15" s="73"/>
      <c r="K15" s="73"/>
      <c r="L15" s="73"/>
      <c r="M15" s="73"/>
      <c r="N15" s="73"/>
      <c r="O15" s="73"/>
      <c r="P15" s="68">
        <f>SUM(Q15:W15)</f>
        <v>208.50804370921233</v>
      </c>
      <c r="Q15" s="38">
        <f>993.2-Q28</f>
        <v>145.5</v>
      </c>
      <c r="R15" s="38"/>
      <c r="S15" s="38"/>
      <c r="T15" s="38"/>
      <c r="U15" s="38"/>
      <c r="V15" s="38">
        <v>63.008043709212323</v>
      </c>
      <c r="W15" s="38"/>
      <c r="X15" s="68">
        <f>SUM(Y15:AE15)</f>
        <v>166.54000000000008</v>
      </c>
      <c r="Y15" s="38">
        <f>1050.4-Y27</f>
        <v>101.40000000000009</v>
      </c>
      <c r="Z15" s="38"/>
      <c r="AA15" s="38"/>
      <c r="AB15" s="38"/>
      <c r="AC15" s="38"/>
      <c r="AD15" s="38">
        <v>65.14</v>
      </c>
      <c r="AE15" s="38"/>
      <c r="AF15" s="38"/>
      <c r="AG15" s="42"/>
      <c r="AH15" s="42"/>
      <c r="AI15" s="42"/>
    </row>
    <row r="16" spans="1:35" ht="45" x14ac:dyDescent="0.2">
      <c r="A16" s="38" t="s">
        <v>317</v>
      </c>
      <c r="B16" s="56" t="s">
        <v>701</v>
      </c>
      <c r="C16" s="56">
        <v>36</v>
      </c>
      <c r="D16" s="56" t="s">
        <v>467</v>
      </c>
      <c r="E16" s="71">
        <v>0.9</v>
      </c>
      <c r="F16" s="71" t="s">
        <v>652</v>
      </c>
      <c r="G16" s="103" t="s">
        <v>353</v>
      </c>
      <c r="H16" s="73"/>
      <c r="I16" s="73"/>
      <c r="J16" s="73"/>
      <c r="K16" s="73"/>
      <c r="L16" s="73"/>
      <c r="M16" s="73"/>
      <c r="N16" s="73"/>
      <c r="O16" s="73"/>
      <c r="P16" s="68">
        <f t="shared" ref="P16:P28" si="0">SUM(Q16:W16)</f>
        <v>332.80000000000007</v>
      </c>
      <c r="Q16" s="38">
        <f>1076.7-Q27</f>
        <v>127.70000000000005</v>
      </c>
      <c r="R16" s="38"/>
      <c r="S16" s="38"/>
      <c r="T16" s="38"/>
      <c r="U16" s="38"/>
      <c r="V16" s="38"/>
      <c r="W16" s="38">
        <v>205.1</v>
      </c>
      <c r="X16" s="68">
        <f t="shared" ref="X16:X28" si="1">SUM(Y16:AE16)</f>
        <v>405.6</v>
      </c>
      <c r="Y16" s="38">
        <f>1149.5-Y27</f>
        <v>200.5</v>
      </c>
      <c r="Z16" s="38"/>
      <c r="AA16" s="38"/>
      <c r="AB16" s="38"/>
      <c r="AC16" s="38"/>
      <c r="AD16" s="38"/>
      <c r="AE16" s="38">
        <v>205.1</v>
      </c>
      <c r="AF16" s="38"/>
      <c r="AG16" s="42"/>
      <c r="AH16" s="42"/>
      <c r="AI16" s="42"/>
    </row>
    <row r="17" spans="1:35" ht="45" x14ac:dyDescent="0.2">
      <c r="A17" s="38" t="s">
        <v>355</v>
      </c>
      <c r="B17" s="56" t="s">
        <v>332</v>
      </c>
      <c r="C17" s="56">
        <v>33</v>
      </c>
      <c r="D17" s="56" t="s">
        <v>338</v>
      </c>
      <c r="E17" s="70" t="s">
        <v>339</v>
      </c>
      <c r="F17" s="70" t="s">
        <v>772</v>
      </c>
      <c r="G17" s="103" t="s">
        <v>333</v>
      </c>
      <c r="H17" s="73"/>
      <c r="I17" s="73"/>
      <c r="J17" s="73"/>
      <c r="K17" s="73"/>
      <c r="L17" s="73"/>
      <c r="M17" s="73"/>
      <c r="N17" s="73"/>
      <c r="O17" s="73"/>
      <c r="P17" s="68">
        <f t="shared" si="0"/>
        <v>27544.3</v>
      </c>
      <c r="Q17" s="38">
        <v>14513.3</v>
      </c>
      <c r="R17" s="42">
        <v>12000</v>
      </c>
      <c r="S17" s="38"/>
      <c r="T17" s="38"/>
      <c r="U17" s="38"/>
      <c r="V17" s="38"/>
      <c r="W17" s="38">
        <v>1031</v>
      </c>
      <c r="X17" s="68">
        <f t="shared" si="1"/>
        <v>40525.599999999999</v>
      </c>
      <c r="Y17" s="38">
        <v>15494.6</v>
      </c>
      <c r="Z17" s="38">
        <v>12000</v>
      </c>
      <c r="AA17" s="38"/>
      <c r="AB17" s="38"/>
      <c r="AC17" s="38"/>
      <c r="AD17" s="38">
        <v>12000</v>
      </c>
      <c r="AE17" s="38">
        <v>1031</v>
      </c>
      <c r="AF17" s="38"/>
      <c r="AG17" s="42"/>
      <c r="AH17" s="42"/>
      <c r="AI17" s="42"/>
    </row>
    <row r="18" spans="1:35" ht="67.5" x14ac:dyDescent="0.2">
      <c r="A18" s="38" t="s">
        <v>356</v>
      </c>
      <c r="B18" s="56" t="s">
        <v>331</v>
      </c>
      <c r="C18" s="56">
        <v>38</v>
      </c>
      <c r="D18" s="38">
        <v>42</v>
      </c>
      <c r="E18" s="72"/>
      <c r="F18" s="72" t="s">
        <v>772</v>
      </c>
      <c r="G18" s="103" t="s">
        <v>329</v>
      </c>
      <c r="H18" s="73"/>
      <c r="I18" s="73"/>
      <c r="J18" s="73"/>
      <c r="K18" s="73"/>
      <c r="L18" s="73"/>
      <c r="M18" s="73"/>
      <c r="N18" s="73"/>
      <c r="O18" s="73"/>
      <c r="P18" s="68">
        <f t="shared" si="0"/>
        <v>22098.2</v>
      </c>
      <c r="Q18" s="38">
        <f>2354.2-Q25</f>
        <v>317.19999999999982</v>
      </c>
      <c r="R18" s="42">
        <v>10000</v>
      </c>
      <c r="S18" s="38"/>
      <c r="T18" s="38"/>
      <c r="U18" s="38"/>
      <c r="V18" s="38">
        <v>11000</v>
      </c>
      <c r="W18" s="38">
        <v>781</v>
      </c>
      <c r="X18" s="68">
        <f t="shared" si="1"/>
        <v>23177.599999999999</v>
      </c>
      <c r="Y18" s="38">
        <f>2433.6-Y25</f>
        <v>396.59999999999991</v>
      </c>
      <c r="Z18" s="38">
        <v>10000</v>
      </c>
      <c r="AA18" s="38"/>
      <c r="AB18" s="38"/>
      <c r="AC18" s="38"/>
      <c r="AD18" s="38">
        <f>2000+10000</f>
        <v>12000</v>
      </c>
      <c r="AE18" s="38">
        <v>781</v>
      </c>
      <c r="AF18" s="38"/>
      <c r="AG18" s="42"/>
      <c r="AH18" s="42"/>
      <c r="AI18" s="42"/>
    </row>
    <row r="19" spans="1:35" ht="22.5" x14ac:dyDescent="0.2">
      <c r="A19" s="38" t="s">
        <v>357</v>
      </c>
      <c r="B19" s="56" t="s">
        <v>700</v>
      </c>
      <c r="C19" s="56">
        <v>39</v>
      </c>
      <c r="D19" s="56" t="s">
        <v>334</v>
      </c>
      <c r="E19" s="70" t="s">
        <v>335</v>
      </c>
      <c r="F19" s="70" t="s">
        <v>772</v>
      </c>
      <c r="G19" s="103" t="s">
        <v>348</v>
      </c>
      <c r="H19" s="73"/>
      <c r="I19" s="73"/>
      <c r="J19" s="73"/>
      <c r="K19" s="73"/>
      <c r="L19" s="73"/>
      <c r="M19" s="73"/>
      <c r="N19" s="73"/>
      <c r="O19" s="73"/>
      <c r="P19" s="68">
        <f t="shared" si="0"/>
        <v>1837</v>
      </c>
      <c r="Q19" s="38">
        <f>993.2+542.9</f>
        <v>1536.1</v>
      </c>
      <c r="R19" s="42"/>
      <c r="S19" s="38"/>
      <c r="T19" s="38"/>
      <c r="U19" s="38"/>
      <c r="V19" s="38"/>
      <c r="W19" s="38">
        <f>202.4+98.5</f>
        <v>300.89999999999998</v>
      </c>
      <c r="X19" s="68">
        <f t="shared" si="1"/>
        <v>1930.9</v>
      </c>
      <c r="Y19" s="38">
        <v>1630</v>
      </c>
      <c r="Z19" s="38"/>
      <c r="AA19" s="38"/>
      <c r="AB19" s="38"/>
      <c r="AC19" s="38"/>
      <c r="AD19" s="38"/>
      <c r="AE19" s="38">
        <v>300.89999999999998</v>
      </c>
      <c r="AF19" s="38"/>
      <c r="AG19" s="42"/>
      <c r="AH19" s="42"/>
      <c r="AI19" s="42"/>
    </row>
    <row r="20" spans="1:35" x14ac:dyDescent="0.2">
      <c r="A20" s="38" t="s">
        <v>358</v>
      </c>
      <c r="B20" s="56" t="s">
        <v>352</v>
      </c>
      <c r="C20" s="56">
        <v>33</v>
      </c>
      <c r="D20" s="38"/>
      <c r="E20" s="72"/>
      <c r="F20" s="72" t="s">
        <v>772</v>
      </c>
      <c r="G20" s="103" t="s">
        <v>351</v>
      </c>
      <c r="H20" s="73"/>
      <c r="I20" s="73"/>
      <c r="J20" s="73"/>
      <c r="K20" s="73"/>
      <c r="L20" s="73"/>
      <c r="M20" s="73"/>
      <c r="N20" s="73"/>
      <c r="O20" s="73"/>
      <c r="P20" s="68">
        <f t="shared" si="0"/>
        <v>3137.75</v>
      </c>
      <c r="Q20" s="38">
        <v>1137.75</v>
      </c>
      <c r="R20" s="42"/>
      <c r="S20" s="38"/>
      <c r="T20" s="38"/>
      <c r="U20" s="38"/>
      <c r="V20" s="38">
        <v>2000</v>
      </c>
      <c r="W20" s="38"/>
      <c r="X20" s="68">
        <f t="shared" si="1"/>
        <v>3216.8</v>
      </c>
      <c r="Y20" s="38">
        <v>1216.8</v>
      </c>
      <c r="Z20" s="38"/>
      <c r="AA20" s="38"/>
      <c r="AB20" s="38"/>
      <c r="AC20" s="38"/>
      <c r="AD20" s="38">
        <v>2000</v>
      </c>
      <c r="AE20" s="38"/>
      <c r="AF20" s="38"/>
      <c r="AG20" s="42"/>
      <c r="AH20" s="42"/>
      <c r="AI20" s="42"/>
    </row>
    <row r="21" spans="1:35" ht="33.75" x14ac:dyDescent="0.2">
      <c r="A21" s="38" t="s">
        <v>359</v>
      </c>
      <c r="B21" s="56" t="s">
        <v>328</v>
      </c>
      <c r="C21" s="56">
        <v>39</v>
      </c>
      <c r="D21" s="38"/>
      <c r="E21" s="72"/>
      <c r="F21" s="72" t="s">
        <v>652</v>
      </c>
      <c r="G21" s="103"/>
      <c r="H21" s="73"/>
      <c r="I21" s="73"/>
      <c r="J21" s="73"/>
      <c r="K21" s="73"/>
      <c r="L21" s="73"/>
      <c r="M21" s="73"/>
      <c r="N21" s="73"/>
      <c r="O21" s="73"/>
      <c r="P21" s="68">
        <f t="shared" si="0"/>
        <v>2078.6</v>
      </c>
      <c r="Q21" s="38">
        <v>78.599999999999994</v>
      </c>
      <c r="R21" s="42"/>
      <c r="S21" s="38">
        <v>2000</v>
      </c>
      <c r="T21" s="38"/>
      <c r="U21" s="38"/>
      <c r="V21" s="38"/>
      <c r="W21" s="38"/>
      <c r="X21" s="68">
        <f t="shared" si="1"/>
        <v>2096.9499999999998</v>
      </c>
      <c r="Y21" s="38">
        <f>(579.6-Y26)/2</f>
        <v>96.950000000000017</v>
      </c>
      <c r="Z21" s="38"/>
      <c r="AA21" s="38">
        <v>2000</v>
      </c>
      <c r="AB21" s="38"/>
      <c r="AC21" s="38"/>
      <c r="AD21" s="38"/>
      <c r="AE21" s="38"/>
      <c r="AF21" s="38"/>
      <c r="AG21" s="42"/>
      <c r="AH21" s="42"/>
      <c r="AI21" s="42"/>
    </row>
    <row r="22" spans="1:35" ht="33.75" x14ac:dyDescent="0.2">
      <c r="A22" s="38" t="s">
        <v>360</v>
      </c>
      <c r="B22" s="56" t="s">
        <v>327</v>
      </c>
      <c r="C22" s="56">
        <v>39</v>
      </c>
      <c r="D22" s="38"/>
      <c r="E22" s="72"/>
      <c r="F22" s="72" t="s">
        <v>652</v>
      </c>
      <c r="G22" s="103"/>
      <c r="H22" s="73"/>
      <c r="I22" s="73"/>
      <c r="J22" s="73"/>
      <c r="K22" s="73"/>
      <c r="L22" s="73"/>
      <c r="M22" s="73"/>
      <c r="N22" s="73"/>
      <c r="O22" s="73"/>
      <c r="P22" s="68">
        <f t="shared" si="0"/>
        <v>78.599999999999994</v>
      </c>
      <c r="Q22" s="38">
        <v>78.599999999999994</v>
      </c>
      <c r="R22" s="42"/>
      <c r="S22" s="93"/>
      <c r="T22" s="93"/>
      <c r="U22" s="38"/>
      <c r="V22" s="38"/>
      <c r="W22" s="38"/>
      <c r="X22" s="68">
        <f t="shared" si="1"/>
        <v>96.95</v>
      </c>
      <c r="Y22" s="38">
        <v>96.95</v>
      </c>
      <c r="Z22" s="38"/>
      <c r="AA22" s="38"/>
      <c r="AB22" s="38"/>
      <c r="AC22" s="38"/>
      <c r="AD22" s="38"/>
      <c r="AE22" s="38"/>
      <c r="AF22" s="38"/>
      <c r="AG22" s="42"/>
      <c r="AH22" s="42"/>
      <c r="AI22" s="42"/>
    </row>
    <row r="23" spans="1:35" ht="22.5" x14ac:dyDescent="0.2">
      <c r="A23" s="38" t="s">
        <v>361</v>
      </c>
      <c r="B23" s="66" t="s">
        <v>702</v>
      </c>
      <c r="C23" s="66">
        <v>39</v>
      </c>
      <c r="D23" s="93"/>
      <c r="E23" s="108"/>
      <c r="F23" s="108" t="s">
        <v>772</v>
      </c>
      <c r="G23" s="95"/>
      <c r="H23" s="109"/>
      <c r="I23" s="109"/>
      <c r="J23" s="109"/>
      <c r="K23" s="109"/>
      <c r="L23" s="109"/>
      <c r="M23" s="109"/>
      <c r="N23" s="109"/>
      <c r="O23" s="109"/>
      <c r="P23" s="110">
        <f t="shared" si="0"/>
        <v>16920</v>
      </c>
      <c r="Q23" s="93"/>
      <c r="R23" s="42"/>
      <c r="S23" s="93"/>
      <c r="T23" s="93"/>
      <c r="U23" s="93"/>
      <c r="V23" s="93">
        <v>16920</v>
      </c>
      <c r="W23" s="93"/>
      <c r="X23" s="110">
        <f t="shared" si="1"/>
        <v>16920</v>
      </c>
      <c r="Y23" s="93"/>
      <c r="Z23" s="93"/>
      <c r="AA23" s="93"/>
      <c r="AB23" s="93"/>
      <c r="AC23" s="93"/>
      <c r="AD23" s="93">
        <v>16920</v>
      </c>
      <c r="AE23" s="93"/>
      <c r="AF23" s="93"/>
      <c r="AG23" s="42"/>
      <c r="AH23" s="42"/>
      <c r="AI23" s="42"/>
    </row>
    <row r="24" spans="1:35" ht="23.25" x14ac:dyDescent="0.25">
      <c r="A24" s="38" t="s">
        <v>518</v>
      </c>
      <c r="B24" s="66" t="s">
        <v>611</v>
      </c>
      <c r="C24" s="66">
        <v>68</v>
      </c>
      <c r="D24" s="93"/>
      <c r="E24" s="108"/>
      <c r="F24" s="108" t="s">
        <v>772</v>
      </c>
      <c r="G24" s="95"/>
      <c r="H24" s="109"/>
      <c r="I24" s="109"/>
      <c r="J24" s="109"/>
      <c r="K24" s="109"/>
      <c r="L24" s="109"/>
      <c r="M24" s="109"/>
      <c r="N24" s="109"/>
      <c r="O24" s="109"/>
      <c r="P24" s="110">
        <f t="shared" si="0"/>
        <v>304</v>
      </c>
      <c r="Q24" s="93"/>
      <c r="R24" s="42"/>
      <c r="S24" s="93"/>
      <c r="T24" s="93">
        <v>304</v>
      </c>
      <c r="U24" s="111"/>
      <c r="V24" s="93"/>
      <c r="W24" s="93"/>
      <c r="X24" s="110">
        <f t="shared" si="1"/>
        <v>324.5</v>
      </c>
      <c r="Y24" s="93"/>
      <c r="Z24" s="93"/>
      <c r="AA24" s="93"/>
      <c r="AB24" s="93">
        <v>324.5</v>
      </c>
      <c r="AC24" s="93"/>
      <c r="AD24" s="93"/>
      <c r="AE24" s="93"/>
      <c r="AF24" s="93"/>
      <c r="AG24" s="42"/>
      <c r="AH24" s="42"/>
      <c r="AI24" s="42"/>
    </row>
    <row r="25" spans="1:35" ht="12" customHeight="1" x14ac:dyDescent="0.25">
      <c r="A25" s="38" t="s">
        <v>559</v>
      </c>
      <c r="B25" s="56" t="s">
        <v>561</v>
      </c>
      <c r="C25" s="66"/>
      <c r="D25" s="93"/>
      <c r="E25" s="108"/>
      <c r="F25" s="108"/>
      <c r="G25" s="95"/>
      <c r="H25" s="109"/>
      <c r="I25" s="109"/>
      <c r="J25" s="109"/>
      <c r="K25" s="109"/>
      <c r="L25" s="109"/>
      <c r="M25" s="109"/>
      <c r="N25" s="109"/>
      <c r="O25" s="109"/>
      <c r="P25" s="110">
        <f t="shared" si="0"/>
        <v>2037</v>
      </c>
      <c r="Q25" s="93">
        <v>2037</v>
      </c>
      <c r="R25" s="42"/>
      <c r="S25" s="93"/>
      <c r="T25" s="93"/>
      <c r="U25" s="111"/>
      <c r="V25" s="93"/>
      <c r="W25" s="93"/>
      <c r="X25" s="110">
        <f t="shared" si="1"/>
        <v>2037</v>
      </c>
      <c r="Y25" s="93">
        <v>2037</v>
      </c>
      <c r="Z25" s="93"/>
      <c r="AA25" s="93"/>
      <c r="AB25" s="93"/>
      <c r="AC25" s="93"/>
      <c r="AD25" s="93"/>
      <c r="AE25" s="93"/>
      <c r="AF25" s="93"/>
      <c r="AG25" s="42"/>
      <c r="AH25" s="42"/>
      <c r="AI25" s="42"/>
    </row>
    <row r="26" spans="1:35" ht="12" customHeight="1" x14ac:dyDescent="0.25">
      <c r="A26" s="38" t="s">
        <v>565</v>
      </c>
      <c r="B26" s="56" t="s">
        <v>564</v>
      </c>
      <c r="C26" s="66"/>
      <c r="D26" s="93"/>
      <c r="E26" s="108"/>
      <c r="F26" s="108"/>
      <c r="G26" s="95"/>
      <c r="H26" s="109"/>
      <c r="I26" s="109"/>
      <c r="J26" s="109"/>
      <c r="K26" s="109"/>
      <c r="L26" s="109"/>
      <c r="M26" s="109"/>
      <c r="N26" s="109"/>
      <c r="O26" s="109"/>
      <c r="P26" s="110">
        <f t="shared" si="0"/>
        <v>385.7</v>
      </c>
      <c r="Q26" s="93">
        <v>385.7</v>
      </c>
      <c r="R26" s="42"/>
      <c r="S26" s="93"/>
      <c r="T26" s="93"/>
      <c r="U26" s="111"/>
      <c r="V26" s="93"/>
      <c r="W26" s="93"/>
      <c r="X26" s="110">
        <f t="shared" si="1"/>
        <v>385.7</v>
      </c>
      <c r="Y26" s="93">
        <v>385.7</v>
      </c>
      <c r="Z26" s="93"/>
      <c r="AA26" s="93"/>
      <c r="AB26" s="93"/>
      <c r="AC26" s="93"/>
      <c r="AD26" s="93"/>
      <c r="AE26" s="93"/>
      <c r="AF26" s="93"/>
      <c r="AG26" s="42"/>
      <c r="AH26" s="42"/>
      <c r="AI26" s="42"/>
    </row>
    <row r="27" spans="1:35" ht="12" customHeight="1" x14ac:dyDescent="0.25">
      <c r="A27" s="38" t="s">
        <v>566</v>
      </c>
      <c r="B27" s="56" t="s">
        <v>562</v>
      </c>
      <c r="C27" s="66"/>
      <c r="D27" s="93"/>
      <c r="E27" s="108"/>
      <c r="F27" s="108"/>
      <c r="G27" s="95"/>
      <c r="H27" s="109"/>
      <c r="I27" s="109"/>
      <c r="J27" s="109"/>
      <c r="K27" s="109"/>
      <c r="L27" s="109"/>
      <c r="M27" s="109"/>
      <c r="N27" s="109"/>
      <c r="O27" s="109"/>
      <c r="P27" s="110">
        <f t="shared" si="0"/>
        <v>949</v>
      </c>
      <c r="Q27" s="93">
        <f>882+67</f>
        <v>949</v>
      </c>
      <c r="R27" s="42"/>
      <c r="S27" s="93"/>
      <c r="T27" s="93"/>
      <c r="U27" s="111"/>
      <c r="V27" s="93"/>
      <c r="W27" s="93"/>
      <c r="X27" s="110">
        <f t="shared" si="1"/>
        <v>949</v>
      </c>
      <c r="Y27" s="93">
        <v>949</v>
      </c>
      <c r="Z27" s="93"/>
      <c r="AA27" s="93"/>
      <c r="AB27" s="93"/>
      <c r="AC27" s="93"/>
      <c r="AD27" s="93"/>
      <c r="AE27" s="93"/>
      <c r="AF27" s="93"/>
      <c r="AG27" s="42"/>
      <c r="AH27" s="42"/>
      <c r="AI27" s="42"/>
    </row>
    <row r="28" spans="1:35" x14ac:dyDescent="0.2">
      <c r="A28" s="38" t="s">
        <v>567</v>
      </c>
      <c r="B28" s="56" t="s">
        <v>563</v>
      </c>
      <c r="C28" s="56"/>
      <c r="D28" s="38"/>
      <c r="E28" s="72"/>
      <c r="F28" s="72"/>
      <c r="G28" s="103"/>
      <c r="H28" s="73"/>
      <c r="I28" s="73"/>
      <c r="J28" s="73"/>
      <c r="K28" s="73"/>
      <c r="L28" s="73"/>
      <c r="M28" s="73"/>
      <c r="N28" s="73"/>
      <c r="O28" s="73"/>
      <c r="P28" s="110">
        <f t="shared" si="0"/>
        <v>847.7</v>
      </c>
      <c r="Q28" s="38">
        <v>847.7</v>
      </c>
      <c r="R28" s="38"/>
      <c r="S28" s="38"/>
      <c r="T28" s="38"/>
      <c r="U28" s="38"/>
      <c r="V28" s="38"/>
      <c r="W28" s="38"/>
      <c r="X28" s="110">
        <f t="shared" si="1"/>
        <v>847.7</v>
      </c>
      <c r="Y28" s="38">
        <v>847.7</v>
      </c>
      <c r="Z28" s="38"/>
      <c r="AA28" s="38"/>
      <c r="AB28" s="38"/>
      <c r="AC28" s="38"/>
      <c r="AD28" s="38"/>
      <c r="AE28" s="38"/>
      <c r="AF28" s="38"/>
      <c r="AG28" s="42"/>
      <c r="AH28" s="42"/>
      <c r="AI28" s="42"/>
    </row>
    <row r="29" spans="1:35" x14ac:dyDescent="0.2">
      <c r="A29" s="42"/>
      <c r="B29" s="42"/>
      <c r="C29" s="42"/>
      <c r="D29" s="42"/>
      <c r="E29" s="42"/>
      <c r="F29" s="42"/>
      <c r="G29" s="88"/>
      <c r="H29" s="42"/>
      <c r="I29" s="42"/>
      <c r="J29" s="42"/>
      <c r="K29" s="42"/>
      <c r="L29" s="42"/>
      <c r="M29" s="42"/>
      <c r="N29" s="42"/>
      <c r="O29" s="89" t="s">
        <v>52</v>
      </c>
      <c r="P29" s="90">
        <f>SUM(P15:P28)</f>
        <v>78759.158043709205</v>
      </c>
      <c r="Q29" s="90">
        <f t="shared" ref="Q29:AE29" si="2">SUM(Q15:Q28)</f>
        <v>22154.149999999998</v>
      </c>
      <c r="R29" s="90">
        <f t="shared" si="2"/>
        <v>22000</v>
      </c>
      <c r="S29" s="90">
        <f t="shared" si="2"/>
        <v>2000</v>
      </c>
      <c r="T29" s="90">
        <f t="shared" si="2"/>
        <v>304</v>
      </c>
      <c r="U29" s="90">
        <f t="shared" si="2"/>
        <v>0</v>
      </c>
      <c r="V29" s="90">
        <f t="shared" si="2"/>
        <v>29983.008043709211</v>
      </c>
      <c r="W29" s="90">
        <f t="shared" si="2"/>
        <v>2318</v>
      </c>
      <c r="X29" s="90">
        <f t="shared" si="2"/>
        <v>93080.839999999982</v>
      </c>
      <c r="Y29" s="90">
        <f t="shared" si="2"/>
        <v>23453.200000000001</v>
      </c>
      <c r="Z29" s="90">
        <f t="shared" si="2"/>
        <v>22000</v>
      </c>
      <c r="AA29" s="90">
        <f t="shared" si="2"/>
        <v>2000</v>
      </c>
      <c r="AB29" s="90">
        <f t="shared" si="2"/>
        <v>324.5</v>
      </c>
      <c r="AC29" s="90">
        <f t="shared" si="2"/>
        <v>0</v>
      </c>
      <c r="AD29" s="90">
        <f t="shared" si="2"/>
        <v>42985.14</v>
      </c>
      <c r="AE29" s="90">
        <f t="shared" si="2"/>
        <v>2318</v>
      </c>
      <c r="AF29" s="42"/>
      <c r="AG29" s="42"/>
      <c r="AH29" s="42"/>
      <c r="AI29" s="42"/>
    </row>
    <row r="30" spans="1:35" x14ac:dyDescent="0.2">
      <c r="A30" s="67">
        <v>4.2</v>
      </c>
      <c r="B30" s="67" t="s">
        <v>315</v>
      </c>
      <c r="C30" s="67"/>
      <c r="D30" s="42"/>
      <c r="E30" s="42"/>
      <c r="F30" s="42"/>
      <c r="G30" s="79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1:35" x14ac:dyDescent="0.2">
      <c r="A31" s="42">
        <v>40</v>
      </c>
      <c r="B31" s="40" t="s">
        <v>313</v>
      </c>
      <c r="C31" s="40"/>
      <c r="D31" s="42"/>
      <c r="E31" s="42"/>
      <c r="F31" s="42"/>
      <c r="G31" s="79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1:35" x14ac:dyDescent="0.2">
      <c r="A32" s="42">
        <v>41</v>
      </c>
      <c r="B32" s="40" t="s">
        <v>314</v>
      </c>
      <c r="C32" s="40"/>
      <c r="D32" s="42"/>
      <c r="E32" s="42"/>
      <c r="F32" s="42"/>
      <c r="G32" s="79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>
        <v>4.63626</v>
      </c>
      <c r="AG32" s="42">
        <v>4.8307500000000001</v>
      </c>
      <c r="AH32" s="42"/>
      <c r="AI32" s="42"/>
    </row>
    <row r="33" spans="1:35" x14ac:dyDescent="0.2">
      <c r="A33" s="42"/>
      <c r="B33" s="40"/>
      <c r="C33" s="40"/>
      <c r="D33" s="42"/>
      <c r="E33" s="42"/>
      <c r="F33" s="42"/>
      <c r="G33" s="79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>
        <v>4636.3</v>
      </c>
      <c r="AG33" s="42">
        <v>4830.8</v>
      </c>
      <c r="AH33" s="42">
        <f>AF33-Q37</f>
        <v>4323.8</v>
      </c>
      <c r="AI33" s="42">
        <f>AG33-Y37</f>
        <v>4261.8</v>
      </c>
    </row>
    <row r="34" spans="1:35" x14ac:dyDescent="0.2">
      <c r="A34" s="42"/>
      <c r="B34" s="42"/>
      <c r="C34" s="42"/>
      <c r="D34" s="42"/>
      <c r="E34" s="42"/>
      <c r="F34" s="42"/>
      <c r="G34" s="79"/>
      <c r="H34" s="122" t="s">
        <v>58</v>
      </c>
      <c r="I34" s="122"/>
      <c r="J34" s="122"/>
      <c r="K34" s="122"/>
      <c r="L34" s="122"/>
      <c r="M34" s="122"/>
      <c r="N34" s="122"/>
      <c r="O34" s="122"/>
      <c r="P34" s="123" t="s">
        <v>61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42"/>
      <c r="AG34" s="42"/>
      <c r="AH34" s="42"/>
      <c r="AI34" s="42"/>
    </row>
    <row r="35" spans="1:35" x14ac:dyDescent="0.2">
      <c r="A35" s="42"/>
      <c r="B35" s="42"/>
      <c r="C35" s="42"/>
      <c r="D35" s="42"/>
      <c r="E35" s="42"/>
      <c r="F35" s="42"/>
      <c r="G35" s="79"/>
      <c r="H35" s="124">
        <v>2019</v>
      </c>
      <c r="I35" s="124"/>
      <c r="J35" s="124"/>
      <c r="K35" s="124"/>
      <c r="L35" s="124">
        <v>2020</v>
      </c>
      <c r="M35" s="124"/>
      <c r="N35" s="124"/>
      <c r="O35" s="124"/>
      <c r="P35" s="124">
        <v>2019</v>
      </c>
      <c r="Q35" s="124"/>
      <c r="R35" s="124"/>
      <c r="S35" s="124"/>
      <c r="T35" s="124"/>
      <c r="U35" s="124"/>
      <c r="V35" s="124"/>
      <c r="W35" s="124"/>
      <c r="X35" s="125">
        <v>2020</v>
      </c>
      <c r="Y35" s="126"/>
      <c r="Z35" s="126"/>
      <c r="AA35" s="126"/>
      <c r="AB35" s="126"/>
      <c r="AC35" s="126"/>
      <c r="AD35" s="126"/>
      <c r="AE35" s="127"/>
      <c r="AF35" s="42"/>
      <c r="AG35" s="42"/>
      <c r="AH35" s="42"/>
      <c r="AI35" s="42"/>
    </row>
    <row r="36" spans="1:35" x14ac:dyDescent="0.2">
      <c r="A36" s="38"/>
      <c r="B36" s="68" t="s">
        <v>42</v>
      </c>
      <c r="C36" s="68" t="s">
        <v>761</v>
      </c>
      <c r="D36" s="68" t="s">
        <v>47</v>
      </c>
      <c r="E36" s="68" t="s">
        <v>48</v>
      </c>
      <c r="F36" s="68" t="s">
        <v>771</v>
      </c>
      <c r="G36" s="80" t="s">
        <v>43</v>
      </c>
      <c r="H36" s="103" t="s">
        <v>25</v>
      </c>
      <c r="I36" s="103" t="s">
        <v>28</v>
      </c>
      <c r="J36" s="103" t="s">
        <v>27</v>
      </c>
      <c r="K36" s="103" t="s">
        <v>26</v>
      </c>
      <c r="L36" s="103" t="s">
        <v>25</v>
      </c>
      <c r="M36" s="103" t="s">
        <v>28</v>
      </c>
      <c r="N36" s="103" t="s">
        <v>27</v>
      </c>
      <c r="O36" s="103" t="s">
        <v>26</v>
      </c>
      <c r="P36" s="68" t="s">
        <v>52</v>
      </c>
      <c r="Q36" s="38" t="s">
        <v>60</v>
      </c>
      <c r="R36" s="38" t="s">
        <v>62</v>
      </c>
      <c r="S36" s="38" t="s">
        <v>59</v>
      </c>
      <c r="T36" s="38" t="s">
        <v>63</v>
      </c>
      <c r="U36" s="38" t="s">
        <v>49</v>
      </c>
      <c r="V36" s="38" t="s">
        <v>50</v>
      </c>
      <c r="W36" s="38" t="s">
        <v>51</v>
      </c>
      <c r="X36" s="68" t="s">
        <v>52</v>
      </c>
      <c r="Y36" s="38" t="s">
        <v>60</v>
      </c>
      <c r="Z36" s="38" t="s">
        <v>62</v>
      </c>
      <c r="AA36" s="38" t="s">
        <v>59</v>
      </c>
      <c r="AB36" s="38" t="s">
        <v>63</v>
      </c>
      <c r="AC36" s="38" t="s">
        <v>49</v>
      </c>
      <c r="AD36" s="38" t="s">
        <v>50</v>
      </c>
      <c r="AE36" s="38" t="s">
        <v>51</v>
      </c>
      <c r="AF36" s="38" t="s">
        <v>53</v>
      </c>
      <c r="AG36" s="42"/>
      <c r="AH36" s="42"/>
      <c r="AI36" s="42"/>
    </row>
    <row r="37" spans="1:35" ht="32.450000000000003" customHeight="1" x14ac:dyDescent="0.2">
      <c r="A37" s="38" t="s">
        <v>318</v>
      </c>
      <c r="B37" s="56" t="s">
        <v>597</v>
      </c>
      <c r="C37" s="56">
        <v>40</v>
      </c>
      <c r="D37" s="56" t="s">
        <v>337</v>
      </c>
      <c r="E37" s="70" t="s">
        <v>336</v>
      </c>
      <c r="F37" s="70" t="s">
        <v>772</v>
      </c>
      <c r="G37" s="103" t="s">
        <v>292</v>
      </c>
      <c r="H37" s="86"/>
      <c r="I37" s="86"/>
      <c r="J37" s="86"/>
      <c r="K37" s="86"/>
      <c r="L37" s="86"/>
      <c r="M37" s="86"/>
      <c r="N37" s="86"/>
      <c r="O37" s="86"/>
      <c r="P37" s="68">
        <f t="shared" ref="P37:P44" si="3">SUM(Q37:W37)</f>
        <v>575.79999999999995</v>
      </c>
      <c r="Q37" s="42">
        <f>(839.7-Q44)+(2855.3-Q42)-50</f>
        <v>312.5</v>
      </c>
      <c r="R37" s="38"/>
      <c r="S37" s="38"/>
      <c r="T37" s="38"/>
      <c r="U37" s="38"/>
      <c r="V37" s="38"/>
      <c r="W37" s="38">
        <v>263.3</v>
      </c>
      <c r="X37" s="68">
        <f t="shared" ref="X37:X44" si="4">SUM(Y37:AE37)</f>
        <v>832.29999999999973</v>
      </c>
      <c r="Y37" s="42">
        <f>(896.4-Y44)+(3055.1-Y42)-50</f>
        <v>568.99999999999966</v>
      </c>
      <c r="Z37" s="38"/>
      <c r="AA37" s="38"/>
      <c r="AB37" s="38"/>
      <c r="AC37" s="38"/>
      <c r="AD37" s="38"/>
      <c r="AE37" s="38">
        <v>263.3</v>
      </c>
      <c r="AF37" s="38"/>
      <c r="AG37" s="42"/>
      <c r="AH37" s="42"/>
      <c r="AI37" s="42"/>
    </row>
    <row r="38" spans="1:35" x14ac:dyDescent="0.2">
      <c r="A38" s="38" t="s">
        <v>319</v>
      </c>
      <c r="B38" s="38" t="s">
        <v>341</v>
      </c>
      <c r="C38" s="38">
        <v>40</v>
      </c>
      <c r="D38" s="38"/>
      <c r="E38" s="56"/>
      <c r="F38" s="70" t="s">
        <v>772</v>
      </c>
      <c r="G38" s="103" t="s">
        <v>344</v>
      </c>
      <c r="H38" s="86"/>
      <c r="I38" s="86"/>
      <c r="J38" s="86"/>
      <c r="K38" s="86"/>
      <c r="L38" s="86"/>
      <c r="M38" s="86"/>
      <c r="N38" s="86"/>
      <c r="O38" s="86"/>
      <c r="P38" s="68">
        <f t="shared" si="3"/>
        <v>3740.8999999999996</v>
      </c>
      <c r="Q38" s="42">
        <v>2861.6</v>
      </c>
      <c r="R38" s="38"/>
      <c r="S38" s="38"/>
      <c r="T38" s="38"/>
      <c r="U38" s="38"/>
      <c r="V38" s="38"/>
      <c r="W38" s="38">
        <v>879.3</v>
      </c>
      <c r="X38" s="68">
        <f t="shared" si="4"/>
        <v>3934.3</v>
      </c>
      <c r="Y38" s="42">
        <v>3055</v>
      </c>
      <c r="Z38" s="38"/>
      <c r="AA38" s="38"/>
      <c r="AB38" s="38"/>
      <c r="AC38" s="38"/>
      <c r="AD38" s="38"/>
      <c r="AE38" s="38">
        <v>879.3</v>
      </c>
      <c r="AF38" s="38"/>
      <c r="AG38" s="42"/>
      <c r="AH38" s="42"/>
      <c r="AI38" s="42"/>
    </row>
    <row r="39" spans="1:35" x14ac:dyDescent="0.2">
      <c r="A39" s="38" t="s">
        <v>320</v>
      </c>
      <c r="B39" s="38" t="s">
        <v>340</v>
      </c>
      <c r="C39" s="38">
        <v>40</v>
      </c>
      <c r="D39" s="56"/>
      <c r="E39" s="69"/>
      <c r="F39" s="70" t="s">
        <v>772</v>
      </c>
      <c r="G39" s="103" t="s">
        <v>344</v>
      </c>
      <c r="H39" s="73"/>
      <c r="I39" s="73"/>
      <c r="J39" s="73"/>
      <c r="K39" s="73"/>
      <c r="L39" s="73"/>
      <c r="M39" s="73"/>
      <c r="N39" s="73"/>
      <c r="O39" s="73"/>
      <c r="P39" s="68">
        <f t="shared" si="3"/>
        <v>50</v>
      </c>
      <c r="Q39" s="38">
        <v>50</v>
      </c>
      <c r="R39" s="42"/>
      <c r="S39" s="38"/>
      <c r="T39" s="42"/>
      <c r="U39" s="38"/>
      <c r="V39" s="38"/>
      <c r="W39" s="38"/>
      <c r="X39" s="68">
        <f t="shared" si="4"/>
        <v>50</v>
      </c>
      <c r="Y39" s="38">
        <v>50</v>
      </c>
      <c r="Z39" s="38"/>
      <c r="AA39" s="38"/>
      <c r="AB39" s="38"/>
      <c r="AC39" s="38"/>
      <c r="AD39" s="38"/>
      <c r="AE39" s="38"/>
      <c r="AF39" s="38"/>
      <c r="AG39" s="42"/>
      <c r="AH39" s="42"/>
      <c r="AI39" s="42"/>
    </row>
    <row r="40" spans="1:35" x14ac:dyDescent="0.2">
      <c r="A40" s="38" t="s">
        <v>321</v>
      </c>
      <c r="B40" s="38" t="s">
        <v>342</v>
      </c>
      <c r="C40" s="38">
        <v>41</v>
      </c>
      <c r="D40" s="56"/>
      <c r="E40" s="69"/>
      <c r="F40" s="70" t="s">
        <v>772</v>
      </c>
      <c r="G40" s="85" t="s">
        <v>345</v>
      </c>
      <c r="H40" s="73"/>
      <c r="I40" s="73"/>
      <c r="J40" s="73"/>
      <c r="K40" s="73"/>
      <c r="L40" s="73"/>
      <c r="M40" s="73"/>
      <c r="N40" s="73"/>
      <c r="O40" s="73"/>
      <c r="P40" s="68">
        <f t="shared" si="3"/>
        <v>1000</v>
      </c>
      <c r="Q40" s="38"/>
      <c r="R40" s="38">
        <v>1000</v>
      </c>
      <c r="S40" s="38"/>
      <c r="T40" s="38"/>
      <c r="U40" s="38"/>
      <c r="V40" s="38"/>
      <c r="W40" s="38"/>
      <c r="X40" s="68">
        <f t="shared" si="4"/>
        <v>0</v>
      </c>
      <c r="Y40" s="38"/>
      <c r="Z40" s="38"/>
      <c r="AA40" s="38"/>
      <c r="AB40" s="38"/>
      <c r="AC40" s="38"/>
      <c r="AD40" s="38"/>
      <c r="AE40" s="38"/>
      <c r="AF40" s="38"/>
      <c r="AG40" s="42"/>
      <c r="AH40" s="42"/>
      <c r="AI40" s="42"/>
    </row>
    <row r="41" spans="1:35" x14ac:dyDescent="0.2">
      <c r="A41" s="38" t="s">
        <v>521</v>
      </c>
      <c r="B41" s="38" t="s">
        <v>601</v>
      </c>
      <c r="C41" s="38">
        <v>24</v>
      </c>
      <c r="D41" s="56"/>
      <c r="E41" s="69"/>
      <c r="F41" s="70" t="s">
        <v>772</v>
      </c>
      <c r="G41" s="85" t="s">
        <v>292</v>
      </c>
      <c r="H41" s="73"/>
      <c r="I41" s="73"/>
      <c r="J41" s="73"/>
      <c r="K41" s="73"/>
      <c r="L41" s="73"/>
      <c r="M41" s="73"/>
      <c r="N41" s="73"/>
      <c r="O41" s="73"/>
      <c r="P41" s="68">
        <f t="shared" si="3"/>
        <v>1000</v>
      </c>
      <c r="Q41" s="38">
        <f>6710.3-Q43</f>
        <v>1000</v>
      </c>
      <c r="R41" s="38"/>
      <c r="S41" s="38"/>
      <c r="T41" s="38"/>
      <c r="U41" s="38"/>
      <c r="V41" s="38"/>
      <c r="W41" s="38"/>
      <c r="X41" s="68">
        <f t="shared" si="4"/>
        <v>1000</v>
      </c>
      <c r="Y41" s="38">
        <f>6710.3-Y43</f>
        <v>1000</v>
      </c>
      <c r="Z41" s="38"/>
      <c r="AA41" s="38"/>
      <c r="AB41" s="38"/>
      <c r="AC41" s="38"/>
      <c r="AD41" s="38"/>
      <c r="AE41" s="38"/>
      <c r="AF41" s="38"/>
      <c r="AG41" s="42"/>
      <c r="AH41" s="42"/>
      <c r="AI41" s="42"/>
    </row>
    <row r="42" spans="1:35" x14ac:dyDescent="0.2">
      <c r="A42" s="38" t="s">
        <v>598</v>
      </c>
      <c r="B42" s="56" t="s">
        <v>519</v>
      </c>
      <c r="C42" s="56"/>
      <c r="D42" s="56"/>
      <c r="E42" s="69"/>
      <c r="F42" s="69"/>
      <c r="G42" s="85" t="s">
        <v>344</v>
      </c>
      <c r="H42" s="73"/>
      <c r="I42" s="73"/>
      <c r="J42" s="73"/>
      <c r="K42" s="73"/>
      <c r="L42" s="73"/>
      <c r="M42" s="73"/>
      <c r="N42" s="73"/>
      <c r="O42" s="73"/>
      <c r="P42" s="68">
        <f t="shared" si="3"/>
        <v>2655.3</v>
      </c>
      <c r="Q42" s="38">
        <f>1933.5+721.8</f>
        <v>2655.3</v>
      </c>
      <c r="R42" s="38"/>
      <c r="S42" s="38"/>
      <c r="T42" s="38"/>
      <c r="U42" s="38"/>
      <c r="V42" s="38"/>
      <c r="W42" s="38"/>
      <c r="X42" s="68">
        <f t="shared" si="4"/>
        <v>2655.3</v>
      </c>
      <c r="Y42" s="38">
        <f>1933.5+721.8</f>
        <v>2655.3</v>
      </c>
      <c r="Z42" s="38"/>
      <c r="AA42" s="38"/>
      <c r="AB42" s="38"/>
      <c r="AC42" s="38"/>
      <c r="AD42" s="38"/>
      <c r="AE42" s="38"/>
      <c r="AF42" s="38"/>
      <c r="AG42" s="42"/>
      <c r="AH42" s="42"/>
      <c r="AI42" s="42"/>
    </row>
    <row r="43" spans="1:35" x14ac:dyDescent="0.2">
      <c r="A43" s="38" t="s">
        <v>703</v>
      </c>
      <c r="B43" s="56" t="s">
        <v>600</v>
      </c>
      <c r="C43" s="56"/>
      <c r="D43" s="56"/>
      <c r="E43" s="69"/>
      <c r="F43" s="69"/>
      <c r="G43" s="85" t="s">
        <v>292</v>
      </c>
      <c r="H43" s="73"/>
      <c r="I43" s="73"/>
      <c r="J43" s="73"/>
      <c r="K43" s="73"/>
      <c r="L43" s="73"/>
      <c r="M43" s="73"/>
      <c r="N43" s="73"/>
      <c r="O43" s="73"/>
      <c r="P43" s="68">
        <f t="shared" si="3"/>
        <v>5710.3</v>
      </c>
      <c r="Q43" s="38">
        <f>5710.3</f>
        <v>5710.3</v>
      </c>
      <c r="R43" s="38"/>
      <c r="S43" s="38"/>
      <c r="T43" s="38"/>
      <c r="U43" s="38"/>
      <c r="V43" s="38"/>
      <c r="W43" s="38"/>
      <c r="X43" s="68">
        <f t="shared" si="4"/>
        <v>5710.3</v>
      </c>
      <c r="Y43" s="38">
        <v>5710.3</v>
      </c>
      <c r="Z43" s="38"/>
      <c r="AA43" s="38"/>
      <c r="AB43" s="38"/>
      <c r="AC43" s="38"/>
      <c r="AD43" s="38"/>
      <c r="AE43" s="38"/>
      <c r="AF43" s="38"/>
      <c r="AG43" s="42"/>
      <c r="AH43" s="42"/>
      <c r="AI43" s="42"/>
    </row>
    <row r="44" spans="1:35" ht="22.5" x14ac:dyDescent="0.2">
      <c r="A44" s="38" t="s">
        <v>704</v>
      </c>
      <c r="B44" s="56" t="s">
        <v>596</v>
      </c>
      <c r="C44" s="56"/>
      <c r="D44" s="56"/>
      <c r="E44" s="69"/>
      <c r="F44" s="69"/>
      <c r="G44" s="85" t="s">
        <v>292</v>
      </c>
      <c r="H44" s="73"/>
      <c r="I44" s="73"/>
      <c r="J44" s="73"/>
      <c r="K44" s="73"/>
      <c r="L44" s="73"/>
      <c r="M44" s="73"/>
      <c r="N44" s="73"/>
      <c r="O44" s="73"/>
      <c r="P44" s="68">
        <f t="shared" si="3"/>
        <v>677.2</v>
      </c>
      <c r="Q44" s="38">
        <v>677.2</v>
      </c>
      <c r="R44" s="38"/>
      <c r="S44" s="38"/>
      <c r="T44" s="38"/>
      <c r="U44" s="38"/>
      <c r="V44" s="38"/>
      <c r="W44" s="38"/>
      <c r="X44" s="68">
        <f t="shared" si="4"/>
        <v>677.2</v>
      </c>
      <c r="Y44" s="38">
        <v>677.2</v>
      </c>
      <c r="Z44" s="38"/>
      <c r="AA44" s="38"/>
      <c r="AB44" s="38"/>
      <c r="AC44" s="38"/>
      <c r="AD44" s="38"/>
      <c r="AE44" s="38"/>
      <c r="AF44" s="38"/>
      <c r="AG44" s="42"/>
      <c r="AH44" s="42"/>
      <c r="AI44" s="42"/>
    </row>
    <row r="45" spans="1:35" x14ac:dyDescent="0.2">
      <c r="A45" s="42"/>
      <c r="B45" s="42"/>
      <c r="C45" s="42"/>
      <c r="D45" s="42"/>
      <c r="E45" s="42"/>
      <c r="F45" s="42"/>
      <c r="G45" s="88"/>
      <c r="H45" s="42"/>
      <c r="I45" s="42"/>
      <c r="J45" s="42"/>
      <c r="K45" s="42"/>
      <c r="L45" s="42"/>
      <c r="M45" s="42"/>
      <c r="N45" s="42"/>
      <c r="O45" s="89" t="s">
        <v>52</v>
      </c>
      <c r="P45" s="90">
        <f>SUM(P37:P44)</f>
        <v>15409.5</v>
      </c>
      <c r="Q45" s="90">
        <f t="shared" ref="Q45:AE45" si="5">SUM(Q37:Q44)</f>
        <v>13266.900000000001</v>
      </c>
      <c r="R45" s="90">
        <f t="shared" si="5"/>
        <v>1000</v>
      </c>
      <c r="S45" s="90">
        <f t="shared" si="5"/>
        <v>0</v>
      </c>
      <c r="T45" s="90">
        <f t="shared" si="5"/>
        <v>0</v>
      </c>
      <c r="U45" s="90">
        <f t="shared" si="5"/>
        <v>0</v>
      </c>
      <c r="V45" s="90">
        <f t="shared" si="5"/>
        <v>0</v>
      </c>
      <c r="W45" s="90">
        <f t="shared" si="5"/>
        <v>1142.5999999999999</v>
      </c>
      <c r="X45" s="90">
        <f t="shared" si="5"/>
        <v>14859.400000000001</v>
      </c>
      <c r="Y45" s="90">
        <f t="shared" si="5"/>
        <v>13716.800000000001</v>
      </c>
      <c r="Z45" s="90">
        <f t="shared" si="5"/>
        <v>0</v>
      </c>
      <c r="AA45" s="90">
        <f t="shared" si="5"/>
        <v>0</v>
      </c>
      <c r="AB45" s="90">
        <f t="shared" si="5"/>
        <v>0</v>
      </c>
      <c r="AC45" s="90">
        <f t="shared" si="5"/>
        <v>0</v>
      </c>
      <c r="AD45" s="90">
        <f t="shared" si="5"/>
        <v>0</v>
      </c>
      <c r="AE45" s="90">
        <f t="shared" si="5"/>
        <v>1142.5999999999999</v>
      </c>
      <c r="AF45" s="42"/>
      <c r="AG45" s="42"/>
      <c r="AH45" s="42"/>
      <c r="AI45" s="42"/>
    </row>
    <row r="46" spans="1:35" x14ac:dyDescent="0.2">
      <c r="A46" s="67">
        <v>4.3</v>
      </c>
      <c r="B46" s="67" t="s">
        <v>322</v>
      </c>
      <c r="C46" s="67"/>
      <c r="D46" s="42"/>
      <c r="E46" s="42"/>
      <c r="F46" s="42"/>
      <c r="G46" s="79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</row>
    <row r="47" spans="1:35" x14ac:dyDescent="0.2">
      <c r="A47" s="42">
        <v>42</v>
      </c>
      <c r="B47" s="40" t="s">
        <v>323</v>
      </c>
      <c r="C47" s="40"/>
      <c r="D47" s="42"/>
      <c r="E47" s="42"/>
      <c r="F47" s="42"/>
      <c r="G47" s="79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</row>
    <row r="48" spans="1:35" x14ac:dyDescent="0.2">
      <c r="A48" s="42"/>
      <c r="B48" s="40"/>
      <c r="C48" s="40"/>
      <c r="D48" s="42"/>
      <c r="E48" s="42"/>
      <c r="F48" s="42"/>
      <c r="G48" s="79"/>
      <c r="H48" s="122" t="s">
        <v>58</v>
      </c>
      <c r="I48" s="122"/>
      <c r="J48" s="122"/>
      <c r="K48" s="122"/>
      <c r="L48" s="122"/>
      <c r="M48" s="122"/>
      <c r="N48" s="122"/>
      <c r="O48" s="122"/>
      <c r="P48" s="123" t="s">
        <v>61</v>
      </c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42"/>
      <c r="AG48" s="42"/>
      <c r="AH48" s="42"/>
      <c r="AI48" s="42"/>
    </row>
    <row r="49" spans="1:35" x14ac:dyDescent="0.2">
      <c r="A49" s="42"/>
      <c r="B49" s="42"/>
      <c r="C49" s="42"/>
      <c r="D49" s="42"/>
      <c r="E49" s="42"/>
      <c r="F49" s="42"/>
      <c r="G49" s="79"/>
      <c r="H49" s="124">
        <v>2019</v>
      </c>
      <c r="I49" s="124"/>
      <c r="J49" s="124"/>
      <c r="K49" s="124"/>
      <c r="L49" s="124">
        <v>2020</v>
      </c>
      <c r="M49" s="124"/>
      <c r="N49" s="124"/>
      <c r="O49" s="124"/>
      <c r="P49" s="124">
        <v>2019</v>
      </c>
      <c r="Q49" s="124"/>
      <c r="R49" s="124"/>
      <c r="S49" s="124"/>
      <c r="T49" s="124"/>
      <c r="U49" s="124"/>
      <c r="V49" s="124"/>
      <c r="W49" s="124"/>
      <c r="X49" s="125">
        <v>2020</v>
      </c>
      <c r="Y49" s="126"/>
      <c r="Z49" s="126"/>
      <c r="AA49" s="126"/>
      <c r="AB49" s="126"/>
      <c r="AC49" s="126"/>
      <c r="AD49" s="126"/>
      <c r="AE49" s="127"/>
      <c r="AF49" s="42"/>
      <c r="AG49" s="42"/>
      <c r="AH49" s="42"/>
      <c r="AI49" s="42"/>
    </row>
    <row r="50" spans="1:35" x14ac:dyDescent="0.2">
      <c r="A50" s="38"/>
      <c r="B50" s="68" t="s">
        <v>42</v>
      </c>
      <c r="C50" s="68" t="s">
        <v>761</v>
      </c>
      <c r="D50" s="68" t="s">
        <v>47</v>
      </c>
      <c r="E50" s="68" t="s">
        <v>48</v>
      </c>
      <c r="F50" s="68" t="s">
        <v>771</v>
      </c>
      <c r="G50" s="80" t="s">
        <v>43</v>
      </c>
      <c r="H50" s="103" t="s">
        <v>25</v>
      </c>
      <c r="I50" s="103" t="s">
        <v>28</v>
      </c>
      <c r="J50" s="103" t="s">
        <v>27</v>
      </c>
      <c r="K50" s="103" t="s">
        <v>26</v>
      </c>
      <c r="L50" s="103" t="s">
        <v>25</v>
      </c>
      <c r="M50" s="103" t="s">
        <v>28</v>
      </c>
      <c r="N50" s="103" t="s">
        <v>27</v>
      </c>
      <c r="O50" s="103" t="s">
        <v>26</v>
      </c>
      <c r="P50" s="68" t="s">
        <v>52</v>
      </c>
      <c r="Q50" s="38" t="s">
        <v>60</v>
      </c>
      <c r="R50" s="38" t="s">
        <v>62</v>
      </c>
      <c r="S50" s="38" t="s">
        <v>59</v>
      </c>
      <c r="T50" s="38" t="s">
        <v>63</v>
      </c>
      <c r="U50" s="38" t="s">
        <v>49</v>
      </c>
      <c r="V50" s="38" t="s">
        <v>50</v>
      </c>
      <c r="W50" s="38" t="s">
        <v>51</v>
      </c>
      <c r="X50" s="68" t="s">
        <v>52</v>
      </c>
      <c r="Y50" s="38" t="s">
        <v>60</v>
      </c>
      <c r="Z50" s="38" t="s">
        <v>62</v>
      </c>
      <c r="AA50" s="38" t="s">
        <v>59</v>
      </c>
      <c r="AB50" s="38" t="s">
        <v>63</v>
      </c>
      <c r="AC50" s="38" t="s">
        <v>49</v>
      </c>
      <c r="AD50" s="38" t="s">
        <v>50</v>
      </c>
      <c r="AE50" s="38" t="s">
        <v>51</v>
      </c>
      <c r="AF50" s="38" t="s">
        <v>53</v>
      </c>
      <c r="AG50" s="42"/>
      <c r="AH50" s="42"/>
      <c r="AI50" s="42"/>
    </row>
    <row r="51" spans="1:35" x14ac:dyDescent="0.2">
      <c r="A51" s="38" t="s">
        <v>324</v>
      </c>
      <c r="B51" s="56" t="s">
        <v>343</v>
      </c>
      <c r="C51" s="56">
        <v>42</v>
      </c>
      <c r="D51" s="38"/>
      <c r="E51" s="70" t="s">
        <v>705</v>
      </c>
      <c r="F51" s="70" t="s">
        <v>772</v>
      </c>
      <c r="G51" s="103" t="s">
        <v>617</v>
      </c>
      <c r="H51" s="73"/>
      <c r="I51" s="73"/>
      <c r="J51" s="83"/>
      <c r="K51" s="83"/>
      <c r="L51" s="83"/>
      <c r="M51" s="83"/>
      <c r="N51" s="83"/>
      <c r="O51" s="83"/>
      <c r="P51" s="68">
        <f t="shared" ref="P51:P53" si="6">SUM(Q51:W51)</f>
        <v>562.70000000000005</v>
      </c>
      <c r="Q51" s="38">
        <f>662.7-100</f>
        <v>562.70000000000005</v>
      </c>
      <c r="R51" s="38"/>
      <c r="S51" s="38"/>
      <c r="T51" s="38"/>
      <c r="U51" s="38"/>
      <c r="V51" s="38"/>
      <c r="W51" s="38"/>
      <c r="X51" s="68">
        <f t="shared" ref="X51:X53" si="7">SUM(Y51:AE51)</f>
        <v>607.5</v>
      </c>
      <c r="Y51" s="38">
        <f>707.5-100</f>
        <v>607.5</v>
      </c>
      <c r="Z51" s="38"/>
      <c r="AA51" s="38"/>
      <c r="AB51" s="38"/>
      <c r="AC51" s="38"/>
      <c r="AD51" s="38"/>
      <c r="AE51" s="38"/>
      <c r="AF51" s="38"/>
      <c r="AG51" s="42"/>
      <c r="AH51" s="42"/>
      <c r="AI51" s="42"/>
    </row>
    <row r="52" spans="1:35" ht="22.5" x14ac:dyDescent="0.2">
      <c r="A52" s="38" t="s">
        <v>325</v>
      </c>
      <c r="B52" s="56" t="s">
        <v>346</v>
      </c>
      <c r="C52" s="56">
        <v>42</v>
      </c>
      <c r="D52" s="38"/>
      <c r="E52" s="56"/>
      <c r="F52" s="70" t="s">
        <v>772</v>
      </c>
      <c r="G52" s="103" t="s">
        <v>617</v>
      </c>
      <c r="H52" s="82"/>
      <c r="I52" s="82"/>
      <c r="J52" s="86"/>
      <c r="K52" s="86"/>
      <c r="L52" s="86"/>
      <c r="M52" s="86"/>
      <c r="N52" s="86"/>
      <c r="O52" s="86"/>
      <c r="P52" s="68">
        <f t="shared" si="6"/>
        <v>50</v>
      </c>
      <c r="Q52" s="38">
        <v>50</v>
      </c>
      <c r="R52" s="38"/>
      <c r="S52" s="38"/>
      <c r="T52" s="38"/>
      <c r="U52" s="38"/>
      <c r="V52" s="38"/>
      <c r="W52" s="38"/>
      <c r="X52" s="68">
        <f t="shared" si="7"/>
        <v>50</v>
      </c>
      <c r="Y52" s="38">
        <v>50</v>
      </c>
      <c r="Z52" s="38"/>
      <c r="AA52" s="38"/>
      <c r="AB52" s="38"/>
      <c r="AC52" s="38"/>
      <c r="AD52" s="38"/>
      <c r="AE52" s="38"/>
      <c r="AF52" s="38"/>
      <c r="AG52" s="42"/>
      <c r="AH52" s="42"/>
      <c r="AI52" s="42"/>
    </row>
    <row r="53" spans="1:35" ht="22.5" x14ac:dyDescent="0.2">
      <c r="A53" s="38" t="s">
        <v>326</v>
      </c>
      <c r="B53" s="56" t="s">
        <v>347</v>
      </c>
      <c r="C53" s="56">
        <v>42</v>
      </c>
      <c r="D53" s="56"/>
      <c r="E53" s="69"/>
      <c r="F53" s="70" t="s">
        <v>772</v>
      </c>
      <c r="G53" s="103" t="s">
        <v>617</v>
      </c>
      <c r="H53" s="86"/>
      <c r="I53" s="86"/>
      <c r="J53" s="86"/>
      <c r="K53" s="86"/>
      <c r="L53" s="86"/>
      <c r="M53" s="86"/>
      <c r="N53" s="86"/>
      <c r="O53" s="86"/>
      <c r="P53" s="68">
        <f t="shared" si="6"/>
        <v>50</v>
      </c>
      <c r="Q53" s="38">
        <v>50</v>
      </c>
      <c r="R53" s="38"/>
      <c r="S53" s="38"/>
      <c r="T53" s="38"/>
      <c r="U53" s="38"/>
      <c r="V53" s="38"/>
      <c r="W53" s="38"/>
      <c r="X53" s="68">
        <f t="shared" si="7"/>
        <v>50</v>
      </c>
      <c r="Y53" s="38">
        <v>50</v>
      </c>
      <c r="Z53" s="38"/>
      <c r="AA53" s="38"/>
      <c r="AB53" s="38"/>
      <c r="AC53" s="38"/>
      <c r="AD53" s="38"/>
      <c r="AE53" s="38"/>
      <c r="AF53" s="38"/>
      <c r="AG53" s="42"/>
      <c r="AH53" s="42"/>
      <c r="AI53" s="42"/>
    </row>
    <row r="54" spans="1:35" x14ac:dyDescent="0.2">
      <c r="A54" s="38" t="s">
        <v>522</v>
      </c>
      <c r="B54" s="56" t="s">
        <v>520</v>
      </c>
      <c r="C54" s="56"/>
      <c r="D54" s="38"/>
      <c r="E54" s="38"/>
      <c r="F54" s="38"/>
      <c r="G54" s="103" t="s">
        <v>617</v>
      </c>
      <c r="H54" s="86"/>
      <c r="I54" s="86"/>
      <c r="J54" s="86"/>
      <c r="K54" s="86"/>
      <c r="L54" s="86"/>
      <c r="M54" s="86"/>
      <c r="N54" s="86"/>
      <c r="O54" s="86"/>
      <c r="P54" s="68">
        <f>SUM(P51:P53)</f>
        <v>662.7</v>
      </c>
      <c r="Q54" s="68">
        <f t="shared" ref="Q54:AE54" si="8">SUM(Q51:Q53)</f>
        <v>662.7</v>
      </c>
      <c r="R54" s="68">
        <f t="shared" si="8"/>
        <v>0</v>
      </c>
      <c r="S54" s="68">
        <f t="shared" si="8"/>
        <v>0</v>
      </c>
      <c r="T54" s="68">
        <f t="shared" si="8"/>
        <v>0</v>
      </c>
      <c r="U54" s="68">
        <f t="shared" si="8"/>
        <v>0</v>
      </c>
      <c r="V54" s="68">
        <f t="shared" si="8"/>
        <v>0</v>
      </c>
      <c r="W54" s="68">
        <f t="shared" si="8"/>
        <v>0</v>
      </c>
      <c r="X54" s="68">
        <f t="shared" si="8"/>
        <v>707.5</v>
      </c>
      <c r="Y54" s="68">
        <f t="shared" si="8"/>
        <v>707.5</v>
      </c>
      <c r="Z54" s="68">
        <f t="shared" si="8"/>
        <v>0</v>
      </c>
      <c r="AA54" s="68">
        <f t="shared" si="8"/>
        <v>0</v>
      </c>
      <c r="AB54" s="68">
        <f t="shared" si="8"/>
        <v>0</v>
      </c>
      <c r="AC54" s="68">
        <f t="shared" si="8"/>
        <v>0</v>
      </c>
      <c r="AD54" s="68">
        <f t="shared" si="8"/>
        <v>0</v>
      </c>
      <c r="AE54" s="68">
        <f t="shared" si="8"/>
        <v>0</v>
      </c>
      <c r="AF54" s="38"/>
      <c r="AG54" s="42"/>
      <c r="AH54" s="42"/>
      <c r="AI54" s="42"/>
    </row>
    <row r="55" spans="1:35" x14ac:dyDescent="0.2">
      <c r="P55" s="5"/>
    </row>
    <row r="57" spans="1:35" x14ac:dyDescent="0.2">
      <c r="M57" s="4" t="s">
        <v>534</v>
      </c>
      <c r="P57" s="4" t="str">
        <f>P50</f>
        <v>Total</v>
      </c>
      <c r="Q57" s="4" t="str">
        <f t="shared" ref="Q57:AE57" si="9">Q50</f>
        <v>Recurr.</v>
      </c>
      <c r="R57" s="4" t="str">
        <f t="shared" si="9"/>
        <v>Dev.</v>
      </c>
      <c r="S57" s="4" t="str">
        <f t="shared" si="9"/>
        <v>Prov.</v>
      </c>
      <c r="T57" s="4" t="str">
        <f t="shared" si="9"/>
        <v>Dept</v>
      </c>
      <c r="U57" s="4" t="str">
        <f t="shared" si="9"/>
        <v>TFF</v>
      </c>
      <c r="V57" s="4" t="str">
        <f t="shared" si="9"/>
        <v>DP</v>
      </c>
      <c r="W57" s="4" t="str">
        <f t="shared" si="9"/>
        <v>Gap</v>
      </c>
      <c r="X57" s="4" t="str">
        <f t="shared" si="9"/>
        <v>Total</v>
      </c>
      <c r="Y57" s="4" t="str">
        <f t="shared" si="9"/>
        <v>Recurr.</v>
      </c>
      <c r="Z57" s="4" t="str">
        <f t="shared" si="9"/>
        <v>Dev.</v>
      </c>
      <c r="AA57" s="4" t="str">
        <f t="shared" si="9"/>
        <v>Prov.</v>
      </c>
      <c r="AB57" s="4" t="str">
        <f t="shared" si="9"/>
        <v>Dept</v>
      </c>
      <c r="AC57" s="4" t="str">
        <f t="shared" si="9"/>
        <v>TFF</v>
      </c>
      <c r="AD57" s="4" t="str">
        <f t="shared" si="9"/>
        <v>DP</v>
      </c>
      <c r="AE57" s="4" t="str">
        <f t="shared" si="9"/>
        <v>Gap</v>
      </c>
    </row>
    <row r="58" spans="1:35" x14ac:dyDescent="0.2">
      <c r="P58" s="4">
        <f>P54+P45+P29</f>
        <v>94831.358043709202</v>
      </c>
      <c r="Q58" s="4">
        <f t="shared" ref="Q58:AE58" si="10">Q54+Q45+Q29</f>
        <v>36083.75</v>
      </c>
      <c r="R58" s="4">
        <f t="shared" si="10"/>
        <v>23000</v>
      </c>
      <c r="S58" s="4">
        <f t="shared" si="10"/>
        <v>2000</v>
      </c>
      <c r="T58" s="4">
        <f t="shared" si="10"/>
        <v>304</v>
      </c>
      <c r="U58" s="4">
        <f t="shared" si="10"/>
        <v>0</v>
      </c>
      <c r="V58" s="4">
        <f t="shared" si="10"/>
        <v>29983.008043709211</v>
      </c>
      <c r="W58" s="4">
        <f t="shared" si="10"/>
        <v>3460.6</v>
      </c>
      <c r="X58" s="4">
        <f t="shared" si="10"/>
        <v>108647.73999999999</v>
      </c>
      <c r="Y58" s="4">
        <f t="shared" si="10"/>
        <v>37877.5</v>
      </c>
      <c r="Z58" s="4">
        <f t="shared" si="10"/>
        <v>22000</v>
      </c>
      <c r="AA58" s="4">
        <f t="shared" si="10"/>
        <v>2000</v>
      </c>
      <c r="AB58" s="4">
        <f t="shared" si="10"/>
        <v>324.5</v>
      </c>
      <c r="AC58" s="4">
        <f t="shared" si="10"/>
        <v>0</v>
      </c>
      <c r="AD58" s="4">
        <f t="shared" si="10"/>
        <v>42985.14</v>
      </c>
      <c r="AE58" s="4">
        <f t="shared" si="10"/>
        <v>3460.6</v>
      </c>
    </row>
  </sheetData>
  <mergeCells count="18">
    <mergeCell ref="H12:O12"/>
    <mergeCell ref="P12:AE12"/>
    <mergeCell ref="H13:K13"/>
    <mergeCell ref="L13:O13"/>
    <mergeCell ref="P13:W13"/>
    <mergeCell ref="X13:AE13"/>
    <mergeCell ref="H34:O34"/>
    <mergeCell ref="P34:AE34"/>
    <mergeCell ref="H35:K35"/>
    <mergeCell ref="L35:O35"/>
    <mergeCell ref="P35:W35"/>
    <mergeCell ref="X35:AE35"/>
    <mergeCell ref="H48:O48"/>
    <mergeCell ref="P48:AE48"/>
    <mergeCell ref="H49:K49"/>
    <mergeCell ref="L49:O49"/>
    <mergeCell ref="P49:W49"/>
    <mergeCell ref="X49:AE4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43"/>
  <sheetViews>
    <sheetView topLeftCell="A19" zoomScale="115" zoomScaleNormal="115" workbookViewId="0">
      <selection activeCell="E30" sqref="A1:AG33"/>
    </sheetView>
  </sheetViews>
  <sheetFormatPr defaultColWidth="8.85546875" defaultRowHeight="11.25" x14ac:dyDescent="0.2"/>
  <cols>
    <col min="1" max="1" width="3.85546875" style="4" customWidth="1"/>
    <col min="2" max="2" width="34.85546875" style="4" customWidth="1"/>
    <col min="3" max="3" width="7.85546875" style="47" customWidth="1"/>
    <col min="4" max="4" width="25.42578125" style="4" customWidth="1"/>
    <col min="5" max="5" width="20.85546875" style="4" customWidth="1"/>
    <col min="6" max="6" width="7.5703125" style="47" customWidth="1"/>
    <col min="7" max="7" width="8.5703125" style="6" customWidth="1"/>
    <col min="8" max="15" width="3.140625" style="4" customWidth="1"/>
    <col min="16" max="16" width="4.5703125" style="4" customWidth="1"/>
    <col min="17" max="20" width="4.140625" style="4" customWidth="1"/>
    <col min="21" max="21" width="4.5703125" style="4" customWidth="1"/>
    <col min="22" max="28" width="4.140625" style="4" customWidth="1"/>
    <col min="29" max="29" width="5" style="4" customWidth="1"/>
    <col min="30" max="31" width="4.140625" style="4" customWidth="1"/>
    <col min="32" max="32" width="29.42578125" style="4" customWidth="1"/>
    <col min="33" max="16384" width="8.85546875" style="4"/>
  </cols>
  <sheetData>
    <row r="1" spans="1:33" ht="12.75" thickBot="1" x14ac:dyDescent="0.25">
      <c r="A1" s="76">
        <v>5</v>
      </c>
      <c r="B1" s="77" t="s">
        <v>40</v>
      </c>
      <c r="C1" s="77"/>
      <c r="D1" s="78" t="s">
        <v>354</v>
      </c>
      <c r="E1" s="42"/>
      <c r="F1" s="42"/>
      <c r="G1" s="79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3" x14ac:dyDescent="0.2">
      <c r="A2" s="67">
        <v>5.0999999999999996</v>
      </c>
      <c r="B2" s="67" t="s">
        <v>368</v>
      </c>
      <c r="C2" s="67"/>
      <c r="D2" s="42"/>
      <c r="E2" s="42"/>
      <c r="F2" s="42"/>
      <c r="G2" s="79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</row>
    <row r="3" spans="1:33" x14ac:dyDescent="0.2">
      <c r="A3" s="42">
        <v>43</v>
      </c>
      <c r="B3" s="40" t="s">
        <v>367</v>
      </c>
      <c r="C3" s="40"/>
      <c r="D3" s="42"/>
      <c r="E3" s="42"/>
      <c r="F3" s="42"/>
      <c r="G3" s="79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x14ac:dyDescent="0.2">
      <c r="A4" s="42"/>
      <c r="B4" s="42"/>
      <c r="C4" s="42"/>
      <c r="D4" s="42"/>
      <c r="E4" s="42"/>
      <c r="F4" s="42"/>
      <c r="G4" s="79"/>
      <c r="H4" s="122" t="s">
        <v>58</v>
      </c>
      <c r="I4" s="122"/>
      <c r="J4" s="122"/>
      <c r="K4" s="122"/>
      <c r="L4" s="122"/>
      <c r="M4" s="122"/>
      <c r="N4" s="122"/>
      <c r="O4" s="122"/>
      <c r="P4" s="123" t="s">
        <v>61</v>
      </c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42"/>
      <c r="AG4" s="42"/>
    </row>
    <row r="5" spans="1:33" ht="12" customHeight="1" x14ac:dyDescent="0.2">
      <c r="A5" s="42"/>
      <c r="B5" s="42"/>
      <c r="C5" s="42"/>
      <c r="D5" s="42"/>
      <c r="E5" s="42"/>
      <c r="F5" s="42"/>
      <c r="G5" s="79"/>
      <c r="H5" s="124">
        <v>2019</v>
      </c>
      <c r="I5" s="124"/>
      <c r="J5" s="124"/>
      <c r="K5" s="124"/>
      <c r="L5" s="124">
        <v>2020</v>
      </c>
      <c r="M5" s="124"/>
      <c r="N5" s="124"/>
      <c r="O5" s="124"/>
      <c r="P5" s="124">
        <v>2019</v>
      </c>
      <c r="Q5" s="124"/>
      <c r="R5" s="124"/>
      <c r="S5" s="124"/>
      <c r="T5" s="124"/>
      <c r="U5" s="124"/>
      <c r="V5" s="124"/>
      <c r="W5" s="124"/>
      <c r="X5" s="125">
        <v>2020</v>
      </c>
      <c r="Y5" s="126"/>
      <c r="Z5" s="126"/>
      <c r="AA5" s="126"/>
      <c r="AB5" s="126"/>
      <c r="AC5" s="126"/>
      <c r="AD5" s="126"/>
      <c r="AE5" s="127"/>
      <c r="AF5" s="42"/>
      <c r="AG5" s="42"/>
    </row>
    <row r="6" spans="1:33" x14ac:dyDescent="0.2">
      <c r="A6" s="38"/>
      <c r="B6" s="68" t="s">
        <v>42</v>
      </c>
      <c r="C6" s="68" t="s">
        <v>761</v>
      </c>
      <c r="D6" s="68" t="s">
        <v>47</v>
      </c>
      <c r="E6" s="68" t="s">
        <v>48</v>
      </c>
      <c r="F6" s="68" t="s">
        <v>774</v>
      </c>
      <c r="G6" s="80" t="s">
        <v>43</v>
      </c>
      <c r="H6" s="103" t="s">
        <v>25</v>
      </c>
      <c r="I6" s="103" t="s">
        <v>28</v>
      </c>
      <c r="J6" s="103" t="s">
        <v>27</v>
      </c>
      <c r="K6" s="103" t="s">
        <v>26</v>
      </c>
      <c r="L6" s="103" t="s">
        <v>25</v>
      </c>
      <c r="M6" s="103" t="s">
        <v>28</v>
      </c>
      <c r="N6" s="103" t="s">
        <v>27</v>
      </c>
      <c r="O6" s="103" t="s">
        <v>26</v>
      </c>
      <c r="P6" s="68" t="s">
        <v>52</v>
      </c>
      <c r="Q6" s="38" t="s">
        <v>60</v>
      </c>
      <c r="R6" s="38" t="s">
        <v>62</v>
      </c>
      <c r="S6" s="38" t="s">
        <v>59</v>
      </c>
      <c r="T6" s="38" t="s">
        <v>63</v>
      </c>
      <c r="U6" s="38" t="s">
        <v>49</v>
      </c>
      <c r="V6" s="38" t="s">
        <v>50</v>
      </c>
      <c r="W6" s="38" t="s">
        <v>51</v>
      </c>
      <c r="X6" s="68" t="s">
        <v>52</v>
      </c>
      <c r="Y6" s="38" t="s">
        <v>60</v>
      </c>
      <c r="Z6" s="38" t="s">
        <v>62</v>
      </c>
      <c r="AA6" s="38" t="s">
        <v>59</v>
      </c>
      <c r="AB6" s="38" t="s">
        <v>63</v>
      </c>
      <c r="AC6" s="38" t="s">
        <v>49</v>
      </c>
      <c r="AD6" s="38" t="s">
        <v>50</v>
      </c>
      <c r="AE6" s="38" t="s">
        <v>51</v>
      </c>
      <c r="AF6" s="38" t="s">
        <v>53</v>
      </c>
      <c r="AG6" s="42"/>
    </row>
    <row r="7" spans="1:33" ht="33.75" x14ac:dyDescent="0.2">
      <c r="A7" s="38" t="s">
        <v>362</v>
      </c>
      <c r="B7" s="56" t="s">
        <v>395</v>
      </c>
      <c r="C7" s="56">
        <v>43</v>
      </c>
      <c r="D7" s="56" t="s">
        <v>465</v>
      </c>
      <c r="E7" s="71" t="s">
        <v>466</v>
      </c>
      <c r="F7" s="71" t="s">
        <v>772</v>
      </c>
      <c r="G7" s="103" t="s">
        <v>423</v>
      </c>
      <c r="H7" s="86"/>
      <c r="I7" s="86"/>
      <c r="J7" s="86"/>
      <c r="K7" s="86"/>
      <c r="L7" s="86"/>
      <c r="M7" s="86"/>
      <c r="N7" s="86"/>
      <c r="O7" s="86"/>
      <c r="P7" s="68">
        <f>SUM(Q7:W7)</f>
        <v>3030</v>
      </c>
      <c r="Q7" s="38"/>
      <c r="R7" s="38"/>
      <c r="S7" s="38"/>
      <c r="T7" s="38"/>
      <c r="U7" s="38"/>
      <c r="V7" s="38">
        <f>3150-20-100</f>
        <v>3030</v>
      </c>
      <c r="W7" s="38"/>
      <c r="X7" s="68">
        <f>SUM(Y7:AE7)</f>
        <v>2900</v>
      </c>
      <c r="Y7" s="38"/>
      <c r="Z7" s="38"/>
      <c r="AA7" s="38"/>
      <c r="AB7" s="38"/>
      <c r="AC7" s="38"/>
      <c r="AD7" s="38">
        <f>3000-100</f>
        <v>2900</v>
      </c>
      <c r="AE7" s="38"/>
      <c r="AF7" s="38"/>
      <c r="AG7" s="42"/>
    </row>
    <row r="8" spans="1:33" x14ac:dyDescent="0.2">
      <c r="A8" s="42"/>
      <c r="B8" s="42"/>
      <c r="C8" s="42"/>
      <c r="D8" s="42"/>
      <c r="E8" s="42"/>
      <c r="F8" s="42"/>
      <c r="G8" s="88"/>
      <c r="H8" s="42"/>
      <c r="I8" s="42"/>
      <c r="J8" s="42"/>
      <c r="K8" s="42"/>
      <c r="L8" s="42"/>
      <c r="M8" s="42"/>
      <c r="N8" s="42"/>
      <c r="O8" s="89" t="s">
        <v>52</v>
      </c>
      <c r="P8" s="90">
        <f t="shared" ref="P8:AD8" si="0">SUM(P7:P7)</f>
        <v>3030</v>
      </c>
      <c r="Q8" s="90">
        <f t="shared" si="0"/>
        <v>0</v>
      </c>
      <c r="R8" s="38">
        <f t="shared" si="0"/>
        <v>0</v>
      </c>
      <c r="S8" s="90">
        <f t="shared" si="0"/>
        <v>0</v>
      </c>
      <c r="T8" s="90">
        <f t="shared" si="0"/>
        <v>0</v>
      </c>
      <c r="U8" s="90">
        <f t="shared" si="0"/>
        <v>0</v>
      </c>
      <c r="V8" s="90">
        <f t="shared" si="0"/>
        <v>3030</v>
      </c>
      <c r="W8" s="90">
        <f t="shared" si="0"/>
        <v>0</v>
      </c>
      <c r="X8" s="90">
        <f t="shared" si="0"/>
        <v>2900</v>
      </c>
      <c r="Y8" s="90">
        <f t="shared" si="0"/>
        <v>0</v>
      </c>
      <c r="Z8" s="90">
        <f t="shared" si="0"/>
        <v>0</v>
      </c>
      <c r="AA8" s="90">
        <f t="shared" si="0"/>
        <v>0</v>
      </c>
      <c r="AB8" s="90">
        <f t="shared" si="0"/>
        <v>0</v>
      </c>
      <c r="AC8" s="90">
        <f t="shared" si="0"/>
        <v>0</v>
      </c>
      <c r="AD8" s="90">
        <f t="shared" si="0"/>
        <v>2900</v>
      </c>
      <c r="AE8" s="90"/>
      <c r="AF8" s="42"/>
      <c r="AG8" s="42"/>
    </row>
    <row r="9" spans="1:33" x14ac:dyDescent="0.2">
      <c r="A9" s="67">
        <v>5.2</v>
      </c>
      <c r="B9" s="67" t="s">
        <v>369</v>
      </c>
      <c r="C9" s="67"/>
      <c r="D9" s="42"/>
      <c r="E9" s="42"/>
      <c r="F9" s="42"/>
      <c r="G9" s="79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3" x14ac:dyDescent="0.2">
      <c r="A10" s="42">
        <v>44</v>
      </c>
      <c r="B10" s="40" t="s">
        <v>371</v>
      </c>
      <c r="C10" s="40"/>
      <c r="D10" s="42"/>
      <c r="E10" s="42"/>
      <c r="F10" s="42"/>
      <c r="G10" s="79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</row>
    <row r="11" spans="1:33" x14ac:dyDescent="0.2">
      <c r="A11" s="42">
        <v>45</v>
      </c>
      <c r="B11" s="40" t="s">
        <v>370</v>
      </c>
      <c r="C11" s="40"/>
      <c r="D11" s="42"/>
      <c r="E11" s="42"/>
      <c r="F11" s="42"/>
      <c r="G11" s="79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>
        <v>4.63626</v>
      </c>
      <c r="AG11" s="42">
        <v>4.8307500000000001</v>
      </c>
    </row>
    <row r="12" spans="1:33" x14ac:dyDescent="0.2">
      <c r="A12" s="42">
        <v>46</v>
      </c>
      <c r="B12" s="40" t="s">
        <v>372</v>
      </c>
      <c r="C12" s="40"/>
      <c r="D12" s="42"/>
      <c r="E12" s="42"/>
      <c r="F12" s="42"/>
      <c r="G12" s="79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</row>
    <row r="13" spans="1:33" x14ac:dyDescent="0.2">
      <c r="A13" s="42">
        <v>47</v>
      </c>
      <c r="B13" s="40" t="s">
        <v>373</v>
      </c>
      <c r="C13" s="40"/>
      <c r="D13" s="42"/>
      <c r="E13" s="42"/>
      <c r="F13" s="42"/>
      <c r="G13" s="79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</row>
    <row r="14" spans="1:33" x14ac:dyDescent="0.2">
      <c r="A14" s="42">
        <v>48</v>
      </c>
      <c r="B14" s="40" t="s">
        <v>374</v>
      </c>
      <c r="C14" s="40"/>
      <c r="D14" s="42"/>
      <c r="E14" s="42"/>
      <c r="F14" s="42"/>
      <c r="G14" s="79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</row>
    <row r="15" spans="1:33" x14ac:dyDescent="0.2">
      <c r="A15" s="42">
        <v>49</v>
      </c>
      <c r="B15" s="40" t="s">
        <v>375</v>
      </c>
      <c r="C15" s="40"/>
      <c r="D15" s="42"/>
      <c r="E15" s="42"/>
      <c r="F15" s="42"/>
      <c r="G15" s="79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</row>
    <row r="16" spans="1:33" x14ac:dyDescent="0.2">
      <c r="A16" s="42"/>
      <c r="B16" s="42"/>
      <c r="C16" s="42"/>
      <c r="D16" s="42"/>
      <c r="E16" s="42"/>
      <c r="F16" s="42"/>
      <c r="G16" s="79"/>
      <c r="H16" s="122" t="s">
        <v>58</v>
      </c>
      <c r="I16" s="122"/>
      <c r="J16" s="122"/>
      <c r="K16" s="122"/>
      <c r="L16" s="122"/>
      <c r="M16" s="122"/>
      <c r="N16" s="122"/>
      <c r="O16" s="122"/>
      <c r="P16" s="123" t="s">
        <v>61</v>
      </c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42"/>
      <c r="AG16" s="42"/>
    </row>
    <row r="17" spans="1:33" x14ac:dyDescent="0.2">
      <c r="A17" s="42"/>
      <c r="B17" s="42"/>
      <c r="C17" s="42"/>
      <c r="D17" s="42"/>
      <c r="E17" s="42"/>
      <c r="F17" s="42"/>
      <c r="G17" s="79"/>
      <c r="H17" s="124">
        <v>2019</v>
      </c>
      <c r="I17" s="124"/>
      <c r="J17" s="124"/>
      <c r="K17" s="124"/>
      <c r="L17" s="124">
        <v>2020</v>
      </c>
      <c r="M17" s="124"/>
      <c r="N17" s="124"/>
      <c r="O17" s="124"/>
      <c r="P17" s="124">
        <v>2019</v>
      </c>
      <c r="Q17" s="124"/>
      <c r="R17" s="124"/>
      <c r="S17" s="124"/>
      <c r="T17" s="124"/>
      <c r="U17" s="124"/>
      <c r="V17" s="124"/>
      <c r="W17" s="124"/>
      <c r="X17" s="125">
        <v>2020</v>
      </c>
      <c r="Y17" s="126"/>
      <c r="Z17" s="126"/>
      <c r="AA17" s="126"/>
      <c r="AB17" s="126"/>
      <c r="AC17" s="126"/>
      <c r="AD17" s="126"/>
      <c r="AE17" s="127"/>
      <c r="AF17" s="42"/>
      <c r="AG17" s="42"/>
    </row>
    <row r="18" spans="1:33" x14ac:dyDescent="0.2">
      <c r="A18" s="38"/>
      <c r="B18" s="68" t="s">
        <v>42</v>
      </c>
      <c r="C18" s="68" t="s">
        <v>761</v>
      </c>
      <c r="D18" s="68" t="s">
        <v>47</v>
      </c>
      <c r="E18" s="68" t="s">
        <v>48</v>
      </c>
      <c r="F18" s="68" t="s">
        <v>774</v>
      </c>
      <c r="G18" s="80" t="s">
        <v>43</v>
      </c>
      <c r="H18" s="103" t="s">
        <v>25</v>
      </c>
      <c r="I18" s="103" t="s">
        <v>28</v>
      </c>
      <c r="J18" s="103" t="s">
        <v>27</v>
      </c>
      <c r="K18" s="103" t="s">
        <v>26</v>
      </c>
      <c r="L18" s="103" t="s">
        <v>25</v>
      </c>
      <c r="M18" s="103" t="s">
        <v>28</v>
      </c>
      <c r="N18" s="103" t="s">
        <v>27</v>
      </c>
      <c r="O18" s="103" t="s">
        <v>26</v>
      </c>
      <c r="P18" s="68" t="s">
        <v>52</v>
      </c>
      <c r="Q18" s="38" t="s">
        <v>60</v>
      </c>
      <c r="R18" s="38" t="s">
        <v>62</v>
      </c>
      <c r="S18" s="38" t="s">
        <v>59</v>
      </c>
      <c r="T18" s="38" t="s">
        <v>63</v>
      </c>
      <c r="U18" s="38" t="s">
        <v>49</v>
      </c>
      <c r="V18" s="38" t="s">
        <v>50</v>
      </c>
      <c r="W18" s="38" t="s">
        <v>51</v>
      </c>
      <c r="X18" s="68" t="s">
        <v>52</v>
      </c>
      <c r="Y18" s="38" t="s">
        <v>60</v>
      </c>
      <c r="Z18" s="38" t="s">
        <v>62</v>
      </c>
      <c r="AA18" s="38" t="s">
        <v>59</v>
      </c>
      <c r="AB18" s="38" t="s">
        <v>63</v>
      </c>
      <c r="AC18" s="38" t="s">
        <v>49</v>
      </c>
      <c r="AD18" s="38" t="s">
        <v>50</v>
      </c>
      <c r="AE18" s="38" t="s">
        <v>51</v>
      </c>
      <c r="AF18" s="38" t="s">
        <v>53</v>
      </c>
      <c r="AG18" s="42"/>
    </row>
    <row r="19" spans="1:33" ht="42.95" customHeight="1" x14ac:dyDescent="0.2">
      <c r="A19" s="38" t="s">
        <v>363</v>
      </c>
      <c r="B19" s="56" t="s">
        <v>396</v>
      </c>
      <c r="C19" s="56">
        <v>44</v>
      </c>
      <c r="D19" s="56" t="s">
        <v>486</v>
      </c>
      <c r="E19" s="112" t="s">
        <v>749</v>
      </c>
      <c r="F19" s="71" t="s">
        <v>652</v>
      </c>
      <c r="G19" s="103" t="s">
        <v>423</v>
      </c>
      <c r="H19" s="86"/>
      <c r="I19" s="86"/>
      <c r="J19" s="86"/>
      <c r="K19" s="86"/>
      <c r="L19" s="86"/>
      <c r="M19" s="86"/>
      <c r="N19" s="86"/>
      <c r="O19" s="86"/>
      <c r="P19" s="68">
        <f>SUM(Q19:W19)</f>
        <v>100</v>
      </c>
      <c r="Q19" s="38"/>
      <c r="R19" s="38"/>
      <c r="S19" s="38"/>
      <c r="T19" s="38"/>
      <c r="U19" s="38"/>
      <c r="V19" s="38">
        <v>100</v>
      </c>
      <c r="W19" s="38"/>
      <c r="X19" s="68">
        <f>SUM(Y19:AE19)</f>
        <v>100</v>
      </c>
      <c r="Y19" s="38"/>
      <c r="Z19" s="38"/>
      <c r="AA19" s="38"/>
      <c r="AB19" s="38"/>
      <c r="AC19" s="38"/>
      <c r="AD19" s="38">
        <v>100</v>
      </c>
      <c r="AE19" s="38"/>
      <c r="AF19" s="38"/>
      <c r="AG19" s="42"/>
    </row>
    <row r="20" spans="1:33" ht="22.5" x14ac:dyDescent="0.2">
      <c r="A20" s="38" t="s">
        <v>364</v>
      </c>
      <c r="B20" s="56" t="s">
        <v>400</v>
      </c>
      <c r="C20" s="56">
        <v>44</v>
      </c>
      <c r="D20" s="56"/>
      <c r="E20" s="56" t="s">
        <v>408</v>
      </c>
      <c r="F20" s="56" t="s">
        <v>772</v>
      </c>
      <c r="G20" s="103" t="s">
        <v>424</v>
      </c>
      <c r="H20" s="86"/>
      <c r="I20" s="83"/>
      <c r="J20" s="83"/>
      <c r="K20" s="83"/>
      <c r="L20" s="83"/>
      <c r="M20" s="83"/>
      <c r="N20" s="83"/>
      <c r="O20" s="83"/>
      <c r="P20" s="68">
        <f t="shared" ref="P20:P32" si="1">SUM(Q20:W20)</f>
        <v>20</v>
      </c>
      <c r="Q20" s="38"/>
      <c r="R20" s="38"/>
      <c r="S20" s="38"/>
      <c r="T20" s="38"/>
      <c r="U20" s="38"/>
      <c r="V20" s="38">
        <v>20</v>
      </c>
      <c r="W20" s="38"/>
      <c r="X20" s="68">
        <f t="shared" ref="X20:X32" si="2">SUM(Y20:AE20)</f>
        <v>0</v>
      </c>
      <c r="Y20" s="38"/>
      <c r="Z20" s="38"/>
      <c r="AA20" s="38"/>
      <c r="AB20" s="38"/>
      <c r="AC20" s="38"/>
      <c r="AD20" s="38"/>
      <c r="AE20" s="38"/>
      <c r="AF20" s="38"/>
      <c r="AG20" s="42"/>
    </row>
    <row r="21" spans="1:33" ht="33.75" x14ac:dyDescent="0.2">
      <c r="A21" s="38" t="s">
        <v>365</v>
      </c>
      <c r="B21" s="56" t="s">
        <v>414</v>
      </c>
      <c r="C21" s="56">
        <v>46</v>
      </c>
      <c r="D21" s="56" t="s">
        <v>706</v>
      </c>
      <c r="E21" s="71" t="s">
        <v>754</v>
      </c>
      <c r="F21" s="71" t="s">
        <v>652</v>
      </c>
      <c r="G21" s="103" t="s">
        <v>409</v>
      </c>
      <c r="H21" s="86"/>
      <c r="I21" s="86"/>
      <c r="J21" s="86"/>
      <c r="K21" s="86"/>
      <c r="L21" s="86"/>
      <c r="M21" s="86"/>
      <c r="N21" s="86"/>
      <c r="O21" s="86"/>
      <c r="P21" s="68">
        <f t="shared" si="1"/>
        <v>13672.7</v>
      </c>
      <c r="Q21" s="38">
        <v>328.7</v>
      </c>
      <c r="R21" s="38"/>
      <c r="S21" s="38">
        <v>8000</v>
      </c>
      <c r="T21" s="38"/>
      <c r="U21" s="38"/>
      <c r="V21" s="38"/>
      <c r="W21" s="38">
        <v>5344</v>
      </c>
      <c r="X21" s="68">
        <f t="shared" si="2"/>
        <v>13983.6</v>
      </c>
      <c r="Y21" s="38">
        <v>639.6</v>
      </c>
      <c r="Z21" s="38"/>
      <c r="AA21" s="38">
        <v>8000</v>
      </c>
      <c r="AB21" s="38"/>
      <c r="AC21" s="38"/>
      <c r="AD21" s="38"/>
      <c r="AE21" s="38">
        <v>5344</v>
      </c>
      <c r="AF21" s="38"/>
      <c r="AG21" s="42"/>
    </row>
    <row r="22" spans="1:33" x14ac:dyDescent="0.2">
      <c r="A22" s="38" t="s">
        <v>366</v>
      </c>
      <c r="B22" s="56" t="s">
        <v>411</v>
      </c>
      <c r="C22" s="56">
        <v>45</v>
      </c>
      <c r="D22" s="56" t="s">
        <v>412</v>
      </c>
      <c r="E22" s="71">
        <v>1</v>
      </c>
      <c r="F22" s="71" t="s">
        <v>775</v>
      </c>
      <c r="G22" s="103" t="s">
        <v>409</v>
      </c>
      <c r="H22" s="86"/>
      <c r="I22" s="86"/>
      <c r="J22" s="86"/>
      <c r="K22" s="86"/>
      <c r="L22" s="86"/>
      <c r="M22" s="86"/>
      <c r="N22" s="86"/>
      <c r="O22" s="86"/>
      <c r="P22" s="68">
        <f t="shared" si="1"/>
        <v>114399.7</v>
      </c>
      <c r="Q22" s="38">
        <v>99.7</v>
      </c>
      <c r="R22" s="38"/>
      <c r="S22" s="38"/>
      <c r="T22" s="38"/>
      <c r="U22" s="38">
        <v>114100</v>
      </c>
      <c r="V22" s="38">
        <v>200</v>
      </c>
      <c r="W22" s="38"/>
      <c r="X22" s="68">
        <f t="shared" si="2"/>
        <v>121977.4</v>
      </c>
      <c r="Y22" s="38">
        <v>177.4</v>
      </c>
      <c r="Z22" s="38"/>
      <c r="AA22" s="38"/>
      <c r="AB22" s="38"/>
      <c r="AC22" s="38">
        <v>121800</v>
      </c>
      <c r="AD22" s="38"/>
      <c r="AE22" s="38"/>
      <c r="AF22" s="38"/>
      <c r="AG22" s="42"/>
    </row>
    <row r="23" spans="1:33" ht="67.5" x14ac:dyDescent="0.2">
      <c r="A23" s="38" t="s">
        <v>401</v>
      </c>
      <c r="B23" s="56" t="s">
        <v>416</v>
      </c>
      <c r="C23" s="56">
        <v>46</v>
      </c>
      <c r="D23" s="56" t="s">
        <v>756</v>
      </c>
      <c r="E23" s="71" t="s">
        <v>755</v>
      </c>
      <c r="F23" s="71" t="s">
        <v>652</v>
      </c>
      <c r="G23" s="103" t="s">
        <v>409</v>
      </c>
      <c r="H23" s="83"/>
      <c r="I23" s="83"/>
      <c r="J23" s="83"/>
      <c r="K23" s="86"/>
      <c r="L23" s="83"/>
      <c r="M23" s="83"/>
      <c r="N23" s="83"/>
      <c r="O23" s="86"/>
      <c r="P23" s="68">
        <f t="shared" si="1"/>
        <v>100</v>
      </c>
      <c r="Q23" s="38">
        <v>100</v>
      </c>
      <c r="R23" s="38"/>
      <c r="S23" s="38"/>
      <c r="T23" s="38"/>
      <c r="U23" s="38"/>
      <c r="V23" s="38"/>
      <c r="W23" s="38"/>
      <c r="X23" s="68">
        <f t="shared" si="2"/>
        <v>100</v>
      </c>
      <c r="Y23" s="38">
        <v>100</v>
      </c>
      <c r="Z23" s="38"/>
      <c r="AA23" s="38"/>
      <c r="AB23" s="38"/>
      <c r="AC23" s="38"/>
      <c r="AD23" s="38"/>
      <c r="AE23" s="38"/>
      <c r="AF23" s="38"/>
      <c r="AG23" s="42"/>
    </row>
    <row r="24" spans="1:33" x14ac:dyDescent="0.2">
      <c r="A24" s="38" t="s">
        <v>402</v>
      </c>
      <c r="B24" s="56" t="s">
        <v>417</v>
      </c>
      <c r="C24" s="56">
        <v>46</v>
      </c>
      <c r="D24" s="56"/>
      <c r="E24" s="71"/>
      <c r="F24" s="71" t="s">
        <v>652</v>
      </c>
      <c r="G24" s="103" t="s">
        <v>409</v>
      </c>
      <c r="H24" s="86"/>
      <c r="I24" s="83"/>
      <c r="J24" s="83"/>
      <c r="K24" s="83"/>
      <c r="L24" s="83"/>
      <c r="M24" s="83"/>
      <c r="N24" s="83"/>
      <c r="O24" s="86"/>
      <c r="P24" s="68">
        <f t="shared" si="1"/>
        <v>50</v>
      </c>
      <c r="Q24" s="38">
        <v>50</v>
      </c>
      <c r="R24" s="38"/>
      <c r="S24" s="38"/>
      <c r="T24" s="38"/>
      <c r="U24" s="38"/>
      <c r="V24" s="38"/>
      <c r="W24" s="38"/>
      <c r="X24" s="68">
        <f t="shared" si="2"/>
        <v>50</v>
      </c>
      <c r="Y24" s="38">
        <v>50</v>
      </c>
      <c r="Z24" s="38"/>
      <c r="AA24" s="38"/>
      <c r="AB24" s="38"/>
      <c r="AC24" s="38"/>
      <c r="AD24" s="38"/>
      <c r="AE24" s="38"/>
      <c r="AF24" s="38"/>
      <c r="AG24" s="42"/>
    </row>
    <row r="25" spans="1:33" ht="33.75" x14ac:dyDescent="0.2">
      <c r="A25" s="38" t="s">
        <v>403</v>
      </c>
      <c r="B25" s="56" t="s">
        <v>419</v>
      </c>
      <c r="C25" s="56">
        <v>47</v>
      </c>
      <c r="D25" s="56"/>
      <c r="E25" s="56"/>
      <c r="F25" s="56" t="s">
        <v>652</v>
      </c>
      <c r="G25" s="103" t="s">
        <v>294</v>
      </c>
      <c r="H25" s="86"/>
      <c r="I25" s="86"/>
      <c r="J25" s="86"/>
      <c r="K25" s="86"/>
      <c r="L25" s="86"/>
      <c r="M25" s="86"/>
      <c r="N25" s="86"/>
      <c r="O25" s="86"/>
      <c r="P25" s="68">
        <f t="shared" si="1"/>
        <v>25381</v>
      </c>
      <c r="Q25" s="38">
        <v>81</v>
      </c>
      <c r="R25" s="38"/>
      <c r="S25" s="38">
        <v>2000</v>
      </c>
      <c r="T25" s="38"/>
      <c r="U25" s="38">
        <v>23300</v>
      </c>
      <c r="V25" s="38"/>
      <c r="W25" s="38"/>
      <c r="X25" s="68">
        <f t="shared" si="2"/>
        <v>26994.7</v>
      </c>
      <c r="Y25" s="38">
        <v>94.7</v>
      </c>
      <c r="Z25" s="38"/>
      <c r="AA25" s="38">
        <v>2000</v>
      </c>
      <c r="AB25" s="38"/>
      <c r="AC25" s="38">
        <v>24900</v>
      </c>
      <c r="AD25" s="38"/>
      <c r="AE25" s="38"/>
      <c r="AF25" s="38"/>
      <c r="AG25" s="42"/>
    </row>
    <row r="26" spans="1:33" ht="23.1" customHeight="1" x14ac:dyDescent="0.2">
      <c r="A26" s="38" t="s">
        <v>404</v>
      </c>
      <c r="B26" s="56" t="s">
        <v>610</v>
      </c>
      <c r="C26" s="56">
        <v>46</v>
      </c>
      <c r="D26" s="56" t="s">
        <v>709</v>
      </c>
      <c r="E26" s="56" t="s">
        <v>776</v>
      </c>
      <c r="F26" s="56" t="s">
        <v>652</v>
      </c>
      <c r="G26" s="103" t="s">
        <v>708</v>
      </c>
      <c r="H26" s="86"/>
      <c r="I26" s="86"/>
      <c r="J26" s="86"/>
      <c r="K26" s="86"/>
      <c r="L26" s="86"/>
      <c r="M26" s="86"/>
      <c r="N26" s="86"/>
      <c r="O26" s="86"/>
      <c r="P26" s="68">
        <f t="shared" si="1"/>
        <v>67500</v>
      </c>
      <c r="Q26" s="38"/>
      <c r="R26" s="38"/>
      <c r="S26" s="38"/>
      <c r="T26" s="38"/>
      <c r="U26" s="38">
        <v>67500</v>
      </c>
      <c r="V26" s="38"/>
      <c r="W26" s="38"/>
      <c r="X26" s="68"/>
      <c r="Y26" s="38"/>
      <c r="Z26" s="38"/>
      <c r="AA26" s="38"/>
      <c r="AB26" s="38"/>
      <c r="AC26" s="38">
        <v>72100</v>
      </c>
      <c r="AD26" s="38"/>
      <c r="AE26" s="38"/>
      <c r="AF26" s="38"/>
      <c r="AG26" s="42"/>
    </row>
    <row r="27" spans="1:33" ht="22.5" x14ac:dyDescent="0.2">
      <c r="A27" s="38" t="s">
        <v>405</v>
      </c>
      <c r="B27" s="56" t="s">
        <v>707</v>
      </c>
      <c r="C27" s="56"/>
      <c r="D27" s="56"/>
      <c r="E27" s="56"/>
      <c r="F27" s="56" t="s">
        <v>652</v>
      </c>
      <c r="G27" s="103" t="s">
        <v>425</v>
      </c>
      <c r="H27" s="86"/>
      <c r="I27" s="86"/>
      <c r="J27" s="86"/>
      <c r="K27" s="86"/>
      <c r="L27" s="86"/>
      <c r="M27" s="86"/>
      <c r="N27" s="86"/>
      <c r="O27" s="86"/>
      <c r="P27" s="68">
        <f t="shared" si="1"/>
        <v>28200</v>
      </c>
      <c r="Q27" s="38"/>
      <c r="R27" s="38"/>
      <c r="S27" s="38">
        <v>28200</v>
      </c>
      <c r="T27" s="38"/>
      <c r="U27" s="38"/>
      <c r="V27" s="38"/>
      <c r="W27" s="38"/>
      <c r="X27" s="68"/>
      <c r="Y27" s="38"/>
      <c r="Z27" s="38"/>
      <c r="AA27" s="38">
        <v>23200</v>
      </c>
      <c r="AB27" s="38"/>
      <c r="AC27" s="38"/>
      <c r="AD27" s="38"/>
      <c r="AE27" s="38"/>
      <c r="AF27" s="38"/>
      <c r="AG27" s="42"/>
    </row>
    <row r="28" spans="1:33" ht="22.5" x14ac:dyDescent="0.2">
      <c r="A28" s="38" t="s">
        <v>406</v>
      </c>
      <c r="B28" s="56" t="s">
        <v>397</v>
      </c>
      <c r="C28" s="56">
        <v>47</v>
      </c>
      <c r="D28" s="56" t="s">
        <v>413</v>
      </c>
      <c r="E28" s="112" t="s">
        <v>750</v>
      </c>
      <c r="F28" s="56" t="s">
        <v>652</v>
      </c>
      <c r="G28" s="103" t="s">
        <v>294</v>
      </c>
      <c r="H28" s="86"/>
      <c r="I28" s="86"/>
      <c r="J28" s="86"/>
      <c r="K28" s="86"/>
      <c r="L28" s="86"/>
      <c r="M28" s="86"/>
      <c r="N28" s="86"/>
      <c r="O28" s="86"/>
      <c r="P28" s="68">
        <f t="shared" si="1"/>
        <v>500</v>
      </c>
      <c r="Q28" s="38">
        <v>81</v>
      </c>
      <c r="R28" s="38"/>
      <c r="S28" s="38"/>
      <c r="T28" s="38"/>
      <c r="U28" s="38"/>
      <c r="V28" s="38"/>
      <c r="W28" s="38">
        <v>419</v>
      </c>
      <c r="X28" s="68">
        <f t="shared" si="2"/>
        <v>513.70000000000005</v>
      </c>
      <c r="Y28" s="38">
        <v>94.7</v>
      </c>
      <c r="Z28" s="38"/>
      <c r="AA28" s="38"/>
      <c r="AB28" s="38"/>
      <c r="AC28" s="38"/>
      <c r="AD28" s="38"/>
      <c r="AE28" s="38">
        <v>419</v>
      </c>
      <c r="AF28" s="38"/>
      <c r="AG28" s="42"/>
    </row>
    <row r="29" spans="1:33" x14ac:dyDescent="0.2">
      <c r="A29" s="38" t="s">
        <v>415</v>
      </c>
      <c r="B29" s="56" t="s">
        <v>418</v>
      </c>
      <c r="C29" s="56">
        <v>47</v>
      </c>
      <c r="D29" s="56"/>
      <c r="E29" s="112"/>
      <c r="F29" s="112" t="s">
        <v>772</v>
      </c>
      <c r="G29" s="103" t="s">
        <v>294</v>
      </c>
      <c r="H29" s="86"/>
      <c r="I29" s="83"/>
      <c r="J29" s="83"/>
      <c r="K29" s="83"/>
      <c r="L29" s="86"/>
      <c r="M29" s="83"/>
      <c r="N29" s="83"/>
      <c r="O29" s="83"/>
      <c r="P29" s="68">
        <f t="shared" si="1"/>
        <v>41</v>
      </c>
      <c r="Q29" s="38">
        <v>41</v>
      </c>
      <c r="R29" s="38"/>
      <c r="S29" s="38"/>
      <c r="T29" s="38"/>
      <c r="U29" s="38"/>
      <c r="V29" s="38"/>
      <c r="W29" s="38"/>
      <c r="X29" s="68">
        <f t="shared" si="2"/>
        <v>54.7</v>
      </c>
      <c r="Y29" s="38">
        <v>54.7</v>
      </c>
      <c r="Z29" s="38"/>
      <c r="AA29" s="38"/>
      <c r="AB29" s="38"/>
      <c r="AC29" s="38"/>
      <c r="AD29" s="38"/>
      <c r="AE29" s="38"/>
      <c r="AF29" s="38"/>
      <c r="AG29" s="42"/>
    </row>
    <row r="30" spans="1:33" ht="30.95" customHeight="1" x14ac:dyDescent="0.2">
      <c r="A30" s="38" t="s">
        <v>420</v>
      </c>
      <c r="B30" s="56" t="s">
        <v>398</v>
      </c>
      <c r="C30" s="56">
        <v>48</v>
      </c>
      <c r="D30" s="56" t="s">
        <v>710</v>
      </c>
      <c r="E30" s="84" t="s">
        <v>753</v>
      </c>
      <c r="F30" s="84" t="s">
        <v>775</v>
      </c>
      <c r="G30" s="103" t="s">
        <v>425</v>
      </c>
      <c r="H30" s="83"/>
      <c r="I30" s="83"/>
      <c r="J30" s="83"/>
      <c r="K30" s="83"/>
      <c r="L30" s="73"/>
      <c r="M30" s="73"/>
      <c r="N30" s="73"/>
      <c r="O30" s="73"/>
      <c r="P30" s="68">
        <f t="shared" si="1"/>
        <v>27300</v>
      </c>
      <c r="Q30" s="38"/>
      <c r="R30" s="38"/>
      <c r="S30" s="38"/>
      <c r="T30" s="38"/>
      <c r="U30" s="38">
        <v>23300</v>
      </c>
      <c r="V30" s="38">
        <v>4000</v>
      </c>
      <c r="W30" s="38"/>
      <c r="X30" s="68">
        <f t="shared" si="2"/>
        <v>28900</v>
      </c>
      <c r="Y30" s="38"/>
      <c r="Z30" s="38"/>
      <c r="AA30" s="38"/>
      <c r="AB30" s="38"/>
      <c r="AC30" s="38">
        <v>24900</v>
      </c>
      <c r="AD30" s="38">
        <v>4000</v>
      </c>
      <c r="AE30" s="38"/>
      <c r="AF30" s="38"/>
      <c r="AG30" s="42"/>
    </row>
    <row r="31" spans="1:33" ht="22.5" x14ac:dyDescent="0.2">
      <c r="A31" s="38" t="s">
        <v>560</v>
      </c>
      <c r="B31" s="56" t="s">
        <v>508</v>
      </c>
      <c r="C31" s="56"/>
      <c r="D31" s="56"/>
      <c r="E31" s="84"/>
      <c r="F31" s="84"/>
      <c r="G31" s="85" t="s">
        <v>409</v>
      </c>
      <c r="H31" s="73"/>
      <c r="I31" s="73"/>
      <c r="J31" s="73"/>
      <c r="K31" s="73"/>
      <c r="L31" s="73"/>
      <c r="M31" s="73"/>
      <c r="N31" s="73"/>
      <c r="O31" s="73"/>
      <c r="P31" s="68">
        <f t="shared" si="1"/>
        <v>8483</v>
      </c>
      <c r="Q31" s="38">
        <v>8483</v>
      </c>
      <c r="R31" s="38"/>
      <c r="S31" s="38"/>
      <c r="T31" s="38"/>
      <c r="U31" s="38"/>
      <c r="V31" s="38"/>
      <c r="W31" s="38"/>
      <c r="X31" s="68">
        <f t="shared" si="2"/>
        <v>8483</v>
      </c>
      <c r="Y31" s="90">
        <v>8483</v>
      </c>
      <c r="Z31" s="90"/>
      <c r="AA31" s="90"/>
      <c r="AB31" s="90"/>
      <c r="AC31" s="90"/>
      <c r="AD31" s="90"/>
      <c r="AE31" s="90"/>
      <c r="AF31" s="97"/>
      <c r="AG31" s="42"/>
    </row>
    <row r="32" spans="1:33" ht="22.5" x14ac:dyDescent="0.2">
      <c r="A32" s="38" t="s">
        <v>609</v>
      </c>
      <c r="B32" s="56" t="s">
        <v>523</v>
      </c>
      <c r="C32" s="56"/>
      <c r="D32" s="56"/>
      <c r="E32" s="84"/>
      <c r="F32" s="84"/>
      <c r="G32" s="85" t="s">
        <v>294</v>
      </c>
      <c r="H32" s="73"/>
      <c r="I32" s="73"/>
      <c r="J32" s="73"/>
      <c r="K32" s="73"/>
      <c r="L32" s="73"/>
      <c r="M32" s="73"/>
      <c r="N32" s="73"/>
      <c r="O32" s="73"/>
      <c r="P32" s="68">
        <f t="shared" si="1"/>
        <v>1015.1</v>
      </c>
      <c r="Q32" s="38">
        <v>1015.1</v>
      </c>
      <c r="R32" s="38"/>
      <c r="S32" s="38"/>
      <c r="T32" s="38"/>
      <c r="U32" s="38"/>
      <c r="V32" s="38"/>
      <c r="W32" s="38"/>
      <c r="X32" s="68">
        <f t="shared" si="2"/>
        <v>1015.1</v>
      </c>
      <c r="Y32" s="90">
        <v>1015.1</v>
      </c>
      <c r="Z32" s="90"/>
      <c r="AA32" s="90"/>
      <c r="AB32" s="90"/>
      <c r="AC32" s="90"/>
      <c r="AD32" s="90"/>
      <c r="AE32" s="90"/>
      <c r="AF32" s="97"/>
      <c r="AG32" s="42"/>
    </row>
    <row r="33" spans="1:33" x14ac:dyDescent="0.2">
      <c r="A33" s="42"/>
      <c r="B33" s="42"/>
      <c r="C33" s="42"/>
      <c r="D33" s="42"/>
      <c r="E33" s="42"/>
      <c r="F33" s="42"/>
      <c r="G33" s="88"/>
      <c r="H33" s="42"/>
      <c r="I33" s="42"/>
      <c r="J33" s="42"/>
      <c r="K33" s="42"/>
      <c r="L33" s="42"/>
      <c r="M33" s="42"/>
      <c r="N33" s="42"/>
      <c r="O33" s="89" t="s">
        <v>52</v>
      </c>
      <c r="P33" s="90">
        <f t="shared" ref="P33:AE33" si="3">SUM(P19:P32)</f>
        <v>286762.5</v>
      </c>
      <c r="Q33" s="90">
        <f t="shared" si="3"/>
        <v>10279.5</v>
      </c>
      <c r="R33" s="90">
        <f t="shared" si="3"/>
        <v>0</v>
      </c>
      <c r="S33" s="90">
        <f t="shared" si="3"/>
        <v>38200</v>
      </c>
      <c r="T33" s="90">
        <f t="shared" si="3"/>
        <v>0</v>
      </c>
      <c r="U33" s="90">
        <f t="shared" si="3"/>
        <v>228200</v>
      </c>
      <c r="V33" s="90">
        <f t="shared" si="3"/>
        <v>4320</v>
      </c>
      <c r="W33" s="90">
        <f t="shared" si="3"/>
        <v>5763</v>
      </c>
      <c r="X33" s="90">
        <f t="shared" si="3"/>
        <v>202172.20000000004</v>
      </c>
      <c r="Y33" s="90">
        <f t="shared" si="3"/>
        <v>10709.2</v>
      </c>
      <c r="Z33" s="90">
        <f t="shared" si="3"/>
        <v>0</v>
      </c>
      <c r="AA33" s="90">
        <f t="shared" si="3"/>
        <v>33200</v>
      </c>
      <c r="AB33" s="90">
        <f t="shared" si="3"/>
        <v>0</v>
      </c>
      <c r="AC33" s="90">
        <f t="shared" si="3"/>
        <v>243700</v>
      </c>
      <c r="AD33" s="90">
        <f t="shared" si="3"/>
        <v>4100</v>
      </c>
      <c r="AE33" s="90">
        <f t="shared" si="3"/>
        <v>5763</v>
      </c>
      <c r="AF33" s="42"/>
      <c r="AG33" s="42"/>
    </row>
    <row r="36" spans="1:33" x14ac:dyDescent="0.2">
      <c r="M36" s="4" t="s">
        <v>534</v>
      </c>
      <c r="P36" s="4" t="str">
        <f t="shared" ref="P36:AE36" si="4">P6</f>
        <v>Total</v>
      </c>
      <c r="Q36" s="4" t="str">
        <f t="shared" si="4"/>
        <v>Recurr.</v>
      </c>
      <c r="R36" s="4" t="str">
        <f t="shared" si="4"/>
        <v>Dev.</v>
      </c>
      <c r="S36" s="4" t="str">
        <f t="shared" si="4"/>
        <v>Prov.</v>
      </c>
      <c r="T36" s="4" t="str">
        <f t="shared" si="4"/>
        <v>Dept</v>
      </c>
      <c r="U36" s="4" t="str">
        <f t="shared" si="4"/>
        <v>TFF</v>
      </c>
      <c r="V36" s="4" t="str">
        <f t="shared" si="4"/>
        <v>DP</v>
      </c>
      <c r="W36" s="4" t="str">
        <f t="shared" si="4"/>
        <v>Gap</v>
      </c>
      <c r="X36" s="4" t="str">
        <f t="shared" si="4"/>
        <v>Total</v>
      </c>
      <c r="Y36" s="4" t="str">
        <f t="shared" si="4"/>
        <v>Recurr.</v>
      </c>
      <c r="Z36" s="4" t="str">
        <f t="shared" si="4"/>
        <v>Dev.</v>
      </c>
      <c r="AA36" s="4" t="str">
        <f t="shared" si="4"/>
        <v>Prov.</v>
      </c>
      <c r="AB36" s="4" t="str">
        <f t="shared" si="4"/>
        <v>Dept</v>
      </c>
      <c r="AC36" s="4" t="str">
        <f t="shared" si="4"/>
        <v>TFF</v>
      </c>
      <c r="AD36" s="4" t="str">
        <f t="shared" si="4"/>
        <v>DP</v>
      </c>
      <c r="AE36" s="4" t="str">
        <f t="shared" si="4"/>
        <v>Gap</v>
      </c>
    </row>
    <row r="37" spans="1:33" x14ac:dyDescent="0.2">
      <c r="B37" s="4" t="s">
        <v>720</v>
      </c>
      <c r="P37" s="4">
        <f t="shared" ref="P37:AE37" si="5">P33+P8</f>
        <v>289792.5</v>
      </c>
      <c r="Q37" s="4">
        <f t="shared" si="5"/>
        <v>10279.5</v>
      </c>
      <c r="R37" s="4">
        <f t="shared" si="5"/>
        <v>0</v>
      </c>
      <c r="S37" s="4">
        <f t="shared" si="5"/>
        <v>38200</v>
      </c>
      <c r="T37" s="4">
        <f t="shared" si="5"/>
        <v>0</v>
      </c>
      <c r="U37" s="4">
        <f t="shared" si="5"/>
        <v>228200</v>
      </c>
      <c r="V37" s="4">
        <f t="shared" si="5"/>
        <v>7350</v>
      </c>
      <c r="W37" s="4">
        <f t="shared" si="5"/>
        <v>5763</v>
      </c>
      <c r="X37" s="4">
        <f t="shared" si="5"/>
        <v>205072.20000000004</v>
      </c>
      <c r="Y37" s="4">
        <f t="shared" si="5"/>
        <v>10709.2</v>
      </c>
      <c r="Z37" s="4">
        <f t="shared" si="5"/>
        <v>0</v>
      </c>
      <c r="AA37" s="4">
        <f t="shared" si="5"/>
        <v>33200</v>
      </c>
      <c r="AB37" s="4">
        <f t="shared" si="5"/>
        <v>0</v>
      </c>
      <c r="AC37" s="4">
        <f t="shared" si="5"/>
        <v>243700</v>
      </c>
      <c r="AD37" s="4">
        <f t="shared" si="5"/>
        <v>7000</v>
      </c>
      <c r="AE37" s="4">
        <f t="shared" si="5"/>
        <v>5763</v>
      </c>
    </row>
    <row r="38" spans="1:33" s="47" customFormat="1" x14ac:dyDescent="0.2">
      <c r="G38" s="6"/>
    </row>
    <row r="39" spans="1:33" s="47" customFormat="1" x14ac:dyDescent="0.2">
      <c r="A39" s="42"/>
      <c r="B39" s="42"/>
      <c r="C39" s="42"/>
      <c r="D39" s="42"/>
      <c r="E39" s="42"/>
      <c r="F39" s="42"/>
      <c r="G39" s="79"/>
      <c r="H39" s="128" t="s">
        <v>58</v>
      </c>
      <c r="I39" s="128"/>
      <c r="J39" s="128"/>
      <c r="K39" s="128"/>
      <c r="L39" s="128"/>
      <c r="M39" s="128"/>
      <c r="N39" s="128"/>
      <c r="O39" s="128"/>
      <c r="P39" s="129" t="s">
        <v>61</v>
      </c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</row>
    <row r="40" spans="1:33" s="47" customFormat="1" x14ac:dyDescent="0.2">
      <c r="A40" s="38"/>
      <c r="B40" s="68" t="s">
        <v>42</v>
      </c>
      <c r="C40" s="68" t="s">
        <v>760</v>
      </c>
      <c r="D40" s="68" t="s">
        <v>47</v>
      </c>
      <c r="E40" s="68" t="s">
        <v>48</v>
      </c>
      <c r="F40" s="68" t="s">
        <v>774</v>
      </c>
      <c r="G40" s="80" t="s">
        <v>43</v>
      </c>
      <c r="H40" s="130">
        <v>2019</v>
      </c>
      <c r="I40" s="130"/>
      <c r="J40" s="130"/>
      <c r="K40" s="130"/>
      <c r="L40" s="130">
        <v>2020</v>
      </c>
      <c r="M40" s="130"/>
      <c r="N40" s="130"/>
      <c r="O40" s="130"/>
      <c r="P40" s="130">
        <v>2019</v>
      </c>
      <c r="Q40" s="130"/>
      <c r="R40" s="130"/>
      <c r="S40" s="130"/>
      <c r="T40" s="130"/>
      <c r="U40" s="130"/>
      <c r="V40" s="130"/>
      <c r="W40" s="130"/>
      <c r="X40" s="131">
        <v>2020</v>
      </c>
      <c r="Y40" s="132"/>
      <c r="Z40" s="132"/>
      <c r="AA40" s="132"/>
      <c r="AB40" s="132"/>
      <c r="AC40" s="132"/>
      <c r="AD40" s="132"/>
      <c r="AE40" s="133"/>
    </row>
    <row r="41" spans="1:33" s="47" customFormat="1" x14ac:dyDescent="0.2">
      <c r="A41" s="49"/>
      <c r="B41" s="48" t="s">
        <v>42</v>
      </c>
      <c r="C41" s="48" t="s">
        <v>761</v>
      </c>
      <c r="D41" s="48" t="s">
        <v>47</v>
      </c>
      <c r="E41" s="48" t="s">
        <v>48</v>
      </c>
      <c r="F41" s="48"/>
      <c r="G41" s="7" t="s">
        <v>43</v>
      </c>
      <c r="H41" s="75" t="s">
        <v>25</v>
      </c>
      <c r="I41" s="75" t="s">
        <v>28</v>
      </c>
      <c r="J41" s="75" t="s">
        <v>27</v>
      </c>
      <c r="K41" s="75" t="s">
        <v>26</v>
      </c>
      <c r="L41" s="75" t="s">
        <v>25</v>
      </c>
      <c r="M41" s="75" t="s">
        <v>28</v>
      </c>
      <c r="N41" s="75" t="s">
        <v>27</v>
      </c>
      <c r="O41" s="75" t="s">
        <v>26</v>
      </c>
      <c r="P41" s="48" t="s">
        <v>52</v>
      </c>
      <c r="Q41" s="49" t="s">
        <v>60</v>
      </c>
      <c r="R41" s="49" t="s">
        <v>62</v>
      </c>
      <c r="S41" s="49" t="s">
        <v>59</v>
      </c>
      <c r="T41" s="49" t="s">
        <v>63</v>
      </c>
      <c r="U41" s="49" t="s">
        <v>49</v>
      </c>
      <c r="V41" s="49" t="s">
        <v>50</v>
      </c>
      <c r="W41" s="49" t="s">
        <v>51</v>
      </c>
      <c r="X41" s="48" t="s">
        <v>52</v>
      </c>
      <c r="Y41" s="49" t="s">
        <v>60</v>
      </c>
      <c r="Z41" s="49" t="s">
        <v>62</v>
      </c>
      <c r="AA41" s="49" t="s">
        <v>59</v>
      </c>
      <c r="AB41" s="49" t="s">
        <v>63</v>
      </c>
      <c r="AC41" s="49" t="s">
        <v>49</v>
      </c>
      <c r="AD41" s="49" t="s">
        <v>50</v>
      </c>
      <c r="AE41" s="49" t="s">
        <v>51</v>
      </c>
      <c r="AF41" s="49" t="s">
        <v>53</v>
      </c>
    </row>
    <row r="42" spans="1:33" s="47" customFormat="1" x14ac:dyDescent="0.2">
      <c r="A42" s="49" t="s">
        <v>421</v>
      </c>
      <c r="B42" s="51" t="s">
        <v>399</v>
      </c>
      <c r="C42" s="51"/>
      <c r="D42" s="54" t="s">
        <v>724</v>
      </c>
      <c r="E42" s="33"/>
      <c r="F42" s="33"/>
      <c r="G42" s="44"/>
      <c r="H42" s="34"/>
      <c r="I42" s="52"/>
      <c r="J42" s="52"/>
      <c r="K42" s="52"/>
      <c r="L42" s="52"/>
      <c r="M42" s="52"/>
      <c r="N42" s="52"/>
      <c r="O42" s="52"/>
      <c r="P42" s="48">
        <f t="shared" ref="P42:P43" si="6">SUM(Q42:W42)</f>
        <v>0</v>
      </c>
      <c r="Q42" s="49"/>
      <c r="R42" s="49"/>
      <c r="S42" s="49"/>
      <c r="T42" s="49"/>
      <c r="U42" s="49"/>
      <c r="V42" s="49"/>
      <c r="W42" s="49"/>
      <c r="X42" s="48">
        <f t="shared" ref="X42:X43" si="7">SUM(Y42:AE42)</f>
        <v>0</v>
      </c>
      <c r="Y42" s="49"/>
      <c r="Z42" s="49"/>
      <c r="AA42" s="49"/>
      <c r="AB42" s="49"/>
      <c r="AC42" s="49"/>
      <c r="AD42" s="49"/>
      <c r="AE42" s="49"/>
      <c r="AF42" s="49" t="s">
        <v>726</v>
      </c>
    </row>
    <row r="43" spans="1:33" s="47" customFormat="1" ht="22.5" x14ac:dyDescent="0.2">
      <c r="A43" s="49" t="s">
        <v>422</v>
      </c>
      <c r="B43" s="51" t="s">
        <v>407</v>
      </c>
      <c r="C43" s="51"/>
      <c r="D43" s="54" t="s">
        <v>725</v>
      </c>
      <c r="E43" s="33" t="s">
        <v>410</v>
      </c>
      <c r="F43" s="33"/>
      <c r="G43" s="44" t="s">
        <v>426</v>
      </c>
      <c r="H43" s="50"/>
      <c r="I43" s="52"/>
      <c r="J43" s="52"/>
      <c r="K43" s="52"/>
      <c r="L43" s="52"/>
      <c r="M43" s="52"/>
      <c r="N43" s="52"/>
      <c r="O43" s="52"/>
      <c r="P43" s="48">
        <f t="shared" si="6"/>
        <v>0</v>
      </c>
      <c r="Q43" s="49"/>
      <c r="R43" s="49"/>
      <c r="S43" s="49"/>
      <c r="T43" s="49"/>
      <c r="U43" s="49"/>
      <c r="V43" s="49"/>
      <c r="W43" s="49"/>
      <c r="X43" s="48">
        <f t="shared" si="7"/>
        <v>0</v>
      </c>
      <c r="Y43" s="8"/>
      <c r="Z43" s="8"/>
      <c r="AA43" s="8"/>
      <c r="AB43" s="8"/>
      <c r="AC43" s="8"/>
      <c r="AD43" s="8"/>
      <c r="AE43" s="8"/>
      <c r="AF43" s="49" t="s">
        <v>726</v>
      </c>
    </row>
  </sheetData>
  <mergeCells count="18">
    <mergeCell ref="H4:O4"/>
    <mergeCell ref="P4:AE4"/>
    <mergeCell ref="H5:K5"/>
    <mergeCell ref="L5:O5"/>
    <mergeCell ref="P5:W5"/>
    <mergeCell ref="X5:AE5"/>
    <mergeCell ref="H16:O16"/>
    <mergeCell ref="P16:AE16"/>
    <mergeCell ref="H17:K17"/>
    <mergeCell ref="L17:O17"/>
    <mergeCell ref="P17:W17"/>
    <mergeCell ref="X17:AE17"/>
    <mergeCell ref="H39:O39"/>
    <mergeCell ref="P39:AE39"/>
    <mergeCell ref="H40:K40"/>
    <mergeCell ref="L40:O40"/>
    <mergeCell ref="P40:W40"/>
    <mergeCell ref="X40:AE40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03"/>
  <sheetViews>
    <sheetView topLeftCell="A57" zoomScale="115" zoomScaleNormal="115" workbookViewId="0">
      <selection activeCell="D61" sqref="D61"/>
    </sheetView>
  </sheetViews>
  <sheetFormatPr defaultColWidth="8.85546875" defaultRowHeight="11.25" x14ac:dyDescent="0.2"/>
  <cols>
    <col min="1" max="1" width="3.85546875" style="42" customWidth="1"/>
    <col min="2" max="2" width="34.85546875" style="42" customWidth="1"/>
    <col min="3" max="3" width="7.85546875" style="42" customWidth="1"/>
    <col min="4" max="4" width="25.42578125" style="42" customWidth="1"/>
    <col min="5" max="5" width="20.85546875" style="42" customWidth="1"/>
    <col min="6" max="6" width="7.5703125" style="42" customWidth="1"/>
    <col min="7" max="7" width="8.5703125" style="79" customWidth="1"/>
    <col min="8" max="15" width="3.140625" style="42" customWidth="1"/>
    <col min="16" max="31" width="4.140625" style="42" customWidth="1"/>
    <col min="32" max="32" width="29.42578125" style="42" customWidth="1"/>
    <col min="33" max="16384" width="8.85546875" style="42"/>
  </cols>
  <sheetData>
    <row r="1" spans="1:33" ht="12.75" thickBot="1" x14ac:dyDescent="0.25">
      <c r="A1" s="76">
        <v>6</v>
      </c>
      <c r="B1" s="77" t="s">
        <v>40</v>
      </c>
      <c r="C1" s="77"/>
      <c r="D1" s="78" t="s">
        <v>376</v>
      </c>
    </row>
    <row r="2" spans="1:33" x14ac:dyDescent="0.2">
      <c r="A2" s="67">
        <v>6.1</v>
      </c>
      <c r="B2" s="67" t="s">
        <v>380</v>
      </c>
      <c r="C2" s="67"/>
    </row>
    <row r="3" spans="1:33" x14ac:dyDescent="0.2">
      <c r="A3" s="42">
        <v>50</v>
      </c>
      <c r="B3" s="40" t="s">
        <v>381</v>
      </c>
      <c r="C3" s="40"/>
    </row>
    <row r="4" spans="1:33" x14ac:dyDescent="0.2">
      <c r="H4" s="122" t="s">
        <v>58</v>
      </c>
      <c r="I4" s="122"/>
      <c r="J4" s="122"/>
      <c r="K4" s="122"/>
      <c r="L4" s="122"/>
      <c r="M4" s="122"/>
      <c r="N4" s="122"/>
      <c r="O4" s="122"/>
      <c r="P4" s="123" t="s">
        <v>61</v>
      </c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</row>
    <row r="5" spans="1:33" ht="12" customHeight="1" x14ac:dyDescent="0.2">
      <c r="H5" s="124">
        <v>2019</v>
      </c>
      <c r="I5" s="124"/>
      <c r="J5" s="124"/>
      <c r="K5" s="124"/>
      <c r="L5" s="124">
        <v>2020</v>
      </c>
      <c r="M5" s="124"/>
      <c r="N5" s="124"/>
      <c r="O5" s="124"/>
      <c r="P5" s="124">
        <v>2019</v>
      </c>
      <c r="Q5" s="124"/>
      <c r="R5" s="124"/>
      <c r="S5" s="124"/>
      <c r="T5" s="124"/>
      <c r="U5" s="124"/>
      <c r="V5" s="124"/>
      <c r="W5" s="124"/>
      <c r="X5" s="125">
        <v>2020</v>
      </c>
      <c r="Y5" s="126"/>
      <c r="Z5" s="126"/>
      <c r="AA5" s="126"/>
      <c r="AB5" s="126"/>
      <c r="AC5" s="126"/>
      <c r="AD5" s="126"/>
      <c r="AE5" s="127"/>
    </row>
    <row r="6" spans="1:33" x14ac:dyDescent="0.2">
      <c r="A6" s="38"/>
      <c r="B6" s="68" t="s">
        <v>42</v>
      </c>
      <c r="C6" s="48" t="s">
        <v>761</v>
      </c>
      <c r="D6" s="68" t="s">
        <v>47</v>
      </c>
      <c r="E6" s="68" t="s">
        <v>48</v>
      </c>
      <c r="F6" s="68"/>
      <c r="G6" s="80" t="s">
        <v>43</v>
      </c>
      <c r="H6" s="43" t="s">
        <v>25</v>
      </c>
      <c r="I6" s="43" t="s">
        <v>28</v>
      </c>
      <c r="J6" s="43" t="s">
        <v>27</v>
      </c>
      <c r="K6" s="43" t="s">
        <v>26</v>
      </c>
      <c r="L6" s="43" t="s">
        <v>25</v>
      </c>
      <c r="M6" s="43" t="s">
        <v>28</v>
      </c>
      <c r="N6" s="43" t="s">
        <v>27</v>
      </c>
      <c r="O6" s="43" t="s">
        <v>26</v>
      </c>
      <c r="P6" s="68" t="s">
        <v>52</v>
      </c>
      <c r="Q6" s="38" t="s">
        <v>60</v>
      </c>
      <c r="R6" s="38" t="s">
        <v>62</v>
      </c>
      <c r="S6" s="38" t="s">
        <v>59</v>
      </c>
      <c r="T6" s="38" t="s">
        <v>63</v>
      </c>
      <c r="U6" s="38" t="s">
        <v>49</v>
      </c>
      <c r="V6" s="38" t="s">
        <v>50</v>
      </c>
      <c r="W6" s="38" t="s">
        <v>51</v>
      </c>
      <c r="X6" s="68" t="s">
        <v>52</v>
      </c>
      <c r="Y6" s="38" t="s">
        <v>60</v>
      </c>
      <c r="Z6" s="38" t="s">
        <v>62</v>
      </c>
      <c r="AA6" s="38" t="s">
        <v>59</v>
      </c>
      <c r="AB6" s="38" t="s">
        <v>63</v>
      </c>
      <c r="AC6" s="38" t="s">
        <v>49</v>
      </c>
      <c r="AD6" s="38" t="s">
        <v>50</v>
      </c>
      <c r="AE6" s="38" t="s">
        <v>51</v>
      </c>
      <c r="AF6" s="38" t="s">
        <v>53</v>
      </c>
    </row>
    <row r="7" spans="1:33" ht="21.95" customHeight="1" x14ac:dyDescent="0.2">
      <c r="A7" s="38" t="s">
        <v>377</v>
      </c>
      <c r="B7" s="56" t="s">
        <v>427</v>
      </c>
      <c r="C7" s="56">
        <v>50</v>
      </c>
      <c r="D7" s="56" t="s">
        <v>479</v>
      </c>
      <c r="E7" s="71">
        <v>0.6</v>
      </c>
      <c r="F7" s="71"/>
      <c r="G7" s="43" t="s">
        <v>480</v>
      </c>
      <c r="H7" s="83"/>
      <c r="I7" s="73"/>
      <c r="J7" s="73"/>
      <c r="K7" s="73"/>
      <c r="L7" s="83"/>
      <c r="M7" s="73"/>
      <c r="N7" s="73"/>
      <c r="O7" s="73"/>
      <c r="P7" s="68">
        <f>SUM(Q7:W7)</f>
        <v>4405.3999999999996</v>
      </c>
      <c r="Q7" s="38">
        <f>389.3-164.3</f>
        <v>225</v>
      </c>
      <c r="R7" s="38"/>
      <c r="S7" s="38">
        <v>4000</v>
      </c>
      <c r="T7" s="38"/>
      <c r="U7" s="38"/>
      <c r="V7" s="38"/>
      <c r="W7" s="38">
        <v>180.4</v>
      </c>
      <c r="X7" s="68">
        <f>SUM(Y7:AE7)</f>
        <v>4429.2</v>
      </c>
      <c r="Y7" s="38">
        <f>1131.3-Y9</f>
        <v>248.79999999999995</v>
      </c>
      <c r="Z7" s="38"/>
      <c r="AA7" s="38">
        <v>4000</v>
      </c>
      <c r="AB7" s="38"/>
      <c r="AC7" s="38"/>
      <c r="AD7" s="38"/>
      <c r="AE7" s="38">
        <v>180.4</v>
      </c>
      <c r="AF7" s="38"/>
    </row>
    <row r="8" spans="1:33" x14ac:dyDescent="0.2">
      <c r="A8" s="38" t="s">
        <v>378</v>
      </c>
      <c r="B8" s="56" t="s">
        <v>428</v>
      </c>
      <c r="C8" s="56">
        <v>50</v>
      </c>
      <c r="D8" s="38"/>
      <c r="E8" s="72"/>
      <c r="F8" s="72"/>
      <c r="G8" s="43" t="s">
        <v>482</v>
      </c>
      <c r="H8" s="73"/>
      <c r="I8" s="73"/>
      <c r="J8" s="73"/>
      <c r="K8" s="73"/>
      <c r="L8" s="73"/>
      <c r="M8" s="73"/>
      <c r="N8" s="73"/>
      <c r="O8" s="73"/>
      <c r="P8" s="68">
        <f t="shared" ref="P8:P9" si="0">SUM(Q8:W8)</f>
        <v>500</v>
      </c>
      <c r="Q8" s="38"/>
      <c r="R8" s="38"/>
      <c r="S8" s="38"/>
      <c r="T8" s="38"/>
      <c r="U8" s="38"/>
      <c r="V8" s="38"/>
      <c r="W8" s="38">
        <v>500</v>
      </c>
      <c r="X8" s="68">
        <f t="shared" ref="X8:X9" si="1">SUM(Y8:AE8)</f>
        <v>500</v>
      </c>
      <c r="Y8" s="38"/>
      <c r="Z8" s="38"/>
      <c r="AA8" s="38"/>
      <c r="AB8" s="38"/>
      <c r="AC8" s="38"/>
      <c r="AD8" s="38"/>
      <c r="AE8" s="38">
        <v>500</v>
      </c>
      <c r="AF8" s="38"/>
    </row>
    <row r="9" spans="1:33" x14ac:dyDescent="0.2">
      <c r="A9" s="38" t="s">
        <v>379</v>
      </c>
      <c r="B9" s="56" t="s">
        <v>524</v>
      </c>
      <c r="C9" s="56"/>
      <c r="D9" s="38"/>
      <c r="E9" s="72"/>
      <c r="F9" s="72"/>
      <c r="G9" s="43" t="s">
        <v>482</v>
      </c>
      <c r="H9" s="73"/>
      <c r="I9" s="73"/>
      <c r="J9" s="73"/>
      <c r="K9" s="73"/>
      <c r="L9" s="73"/>
      <c r="M9" s="73"/>
      <c r="N9" s="73"/>
      <c r="O9" s="73"/>
      <c r="P9" s="68">
        <f t="shared" si="0"/>
        <v>882.50000000000011</v>
      </c>
      <c r="Q9" s="38">
        <f>718.2+69.2+54.2+40.9</f>
        <v>882.50000000000011</v>
      </c>
      <c r="R9" s="38"/>
      <c r="S9" s="38"/>
      <c r="T9" s="38"/>
      <c r="U9" s="38"/>
      <c r="V9" s="38"/>
      <c r="W9" s="38"/>
      <c r="X9" s="68">
        <f t="shared" si="1"/>
        <v>882.5</v>
      </c>
      <c r="Y9" s="38">
        <v>882.5</v>
      </c>
      <c r="Z9" s="38"/>
      <c r="AA9" s="38"/>
      <c r="AB9" s="38"/>
      <c r="AC9" s="38"/>
      <c r="AD9" s="38"/>
      <c r="AE9" s="38"/>
      <c r="AF9" s="38"/>
    </row>
    <row r="10" spans="1:33" x14ac:dyDescent="0.2">
      <c r="G10" s="88"/>
      <c r="O10" s="89" t="s">
        <v>52</v>
      </c>
      <c r="P10" s="90">
        <f t="shared" ref="P10:AE10" si="2">SUM(P7:P9)</f>
        <v>5787.9</v>
      </c>
      <c r="Q10" s="90">
        <f t="shared" si="2"/>
        <v>1107.5</v>
      </c>
      <c r="R10" s="38">
        <f t="shared" si="2"/>
        <v>0</v>
      </c>
      <c r="S10" s="90">
        <f t="shared" si="2"/>
        <v>4000</v>
      </c>
      <c r="T10" s="90">
        <f t="shared" si="2"/>
        <v>0</v>
      </c>
      <c r="U10" s="90">
        <f t="shared" si="2"/>
        <v>0</v>
      </c>
      <c r="V10" s="90">
        <f t="shared" si="2"/>
        <v>0</v>
      </c>
      <c r="W10" s="90">
        <f t="shared" si="2"/>
        <v>680.4</v>
      </c>
      <c r="X10" s="90">
        <f t="shared" si="2"/>
        <v>5811.7</v>
      </c>
      <c r="Y10" s="90">
        <f t="shared" si="2"/>
        <v>1131.3</v>
      </c>
      <c r="Z10" s="90">
        <f t="shared" si="2"/>
        <v>0</v>
      </c>
      <c r="AA10" s="90">
        <f t="shared" si="2"/>
        <v>4000</v>
      </c>
      <c r="AB10" s="90">
        <f t="shared" si="2"/>
        <v>0</v>
      </c>
      <c r="AC10" s="90">
        <f t="shared" si="2"/>
        <v>0</v>
      </c>
      <c r="AD10" s="90">
        <f t="shared" si="2"/>
        <v>0</v>
      </c>
      <c r="AE10" s="90">
        <f t="shared" si="2"/>
        <v>680.4</v>
      </c>
    </row>
    <row r="11" spans="1:33" x14ac:dyDescent="0.2">
      <c r="A11" s="67">
        <v>6.2</v>
      </c>
      <c r="B11" s="67" t="s">
        <v>382</v>
      </c>
      <c r="C11" s="67"/>
    </row>
    <row r="12" spans="1:33" x14ac:dyDescent="0.2">
      <c r="A12" s="42">
        <v>51</v>
      </c>
      <c r="B12" s="40" t="s">
        <v>383</v>
      </c>
      <c r="C12" s="40"/>
    </row>
    <row r="13" spans="1:33" x14ac:dyDescent="0.2">
      <c r="A13" s="42">
        <v>52</v>
      </c>
      <c r="B13" s="40" t="s">
        <v>384</v>
      </c>
      <c r="C13" s="40"/>
      <c r="AF13" s="42">
        <v>4.63626</v>
      </c>
      <c r="AG13" s="42">
        <v>4.8307500000000001</v>
      </c>
    </row>
    <row r="14" spans="1:33" x14ac:dyDescent="0.2">
      <c r="A14" s="42">
        <v>53</v>
      </c>
      <c r="B14" s="40" t="s">
        <v>386</v>
      </c>
      <c r="C14" s="40"/>
    </row>
    <row r="15" spans="1:33" x14ac:dyDescent="0.2">
      <c r="A15" s="42">
        <v>54</v>
      </c>
      <c r="B15" s="40" t="s">
        <v>385</v>
      </c>
      <c r="C15" s="40"/>
    </row>
    <row r="16" spans="1:33" x14ac:dyDescent="0.2">
      <c r="H16" s="122" t="s">
        <v>58</v>
      </c>
      <c r="I16" s="122"/>
      <c r="J16" s="122"/>
      <c r="K16" s="122"/>
      <c r="L16" s="122"/>
      <c r="M16" s="122"/>
      <c r="N16" s="122"/>
      <c r="O16" s="122"/>
      <c r="P16" s="123" t="s">
        <v>61</v>
      </c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</row>
    <row r="17" spans="1:32" x14ac:dyDescent="0.2">
      <c r="H17" s="124">
        <v>2019</v>
      </c>
      <c r="I17" s="124"/>
      <c r="J17" s="124"/>
      <c r="K17" s="124"/>
      <c r="L17" s="124">
        <v>2020</v>
      </c>
      <c r="M17" s="124"/>
      <c r="N17" s="124"/>
      <c r="O17" s="124"/>
      <c r="P17" s="124">
        <v>2019</v>
      </c>
      <c r="Q17" s="124"/>
      <c r="R17" s="124"/>
      <c r="S17" s="124"/>
      <c r="T17" s="124"/>
      <c r="U17" s="124"/>
      <c r="V17" s="124"/>
      <c r="W17" s="124"/>
      <c r="X17" s="125">
        <v>2020</v>
      </c>
      <c r="Y17" s="126"/>
      <c r="Z17" s="126"/>
      <c r="AA17" s="126"/>
      <c r="AB17" s="126"/>
      <c r="AC17" s="126"/>
      <c r="AD17" s="126"/>
      <c r="AE17" s="127"/>
    </row>
    <row r="18" spans="1:32" x14ac:dyDescent="0.2">
      <c r="A18" s="38"/>
      <c r="B18" s="68" t="s">
        <v>42</v>
      </c>
      <c r="C18" s="48" t="s">
        <v>761</v>
      </c>
      <c r="D18" s="68" t="s">
        <v>47</v>
      </c>
      <c r="E18" s="68" t="s">
        <v>48</v>
      </c>
      <c r="F18" s="68"/>
      <c r="G18" s="80" t="s">
        <v>43</v>
      </c>
      <c r="H18" s="43" t="s">
        <v>25</v>
      </c>
      <c r="I18" s="43" t="s">
        <v>28</v>
      </c>
      <c r="J18" s="43" t="s">
        <v>27</v>
      </c>
      <c r="K18" s="43" t="s">
        <v>26</v>
      </c>
      <c r="L18" s="43" t="s">
        <v>25</v>
      </c>
      <c r="M18" s="43" t="s">
        <v>28</v>
      </c>
      <c r="N18" s="43" t="s">
        <v>27</v>
      </c>
      <c r="O18" s="43" t="s">
        <v>26</v>
      </c>
      <c r="P18" s="68" t="s">
        <v>52</v>
      </c>
      <c r="Q18" s="38" t="s">
        <v>60</v>
      </c>
      <c r="R18" s="38" t="s">
        <v>62</v>
      </c>
      <c r="S18" s="38" t="s">
        <v>59</v>
      </c>
      <c r="T18" s="38" t="s">
        <v>63</v>
      </c>
      <c r="U18" s="38" t="s">
        <v>49</v>
      </c>
      <c r="V18" s="38" t="s">
        <v>50</v>
      </c>
      <c r="W18" s="38" t="s">
        <v>51</v>
      </c>
      <c r="X18" s="68" t="s">
        <v>52</v>
      </c>
      <c r="Y18" s="38" t="s">
        <v>60</v>
      </c>
      <c r="Z18" s="38" t="s">
        <v>62</v>
      </c>
      <c r="AA18" s="38" t="s">
        <v>59</v>
      </c>
      <c r="AB18" s="38" t="s">
        <v>63</v>
      </c>
      <c r="AC18" s="38" t="s">
        <v>49</v>
      </c>
      <c r="AD18" s="38" t="s">
        <v>50</v>
      </c>
      <c r="AE18" s="38" t="s">
        <v>51</v>
      </c>
      <c r="AF18" s="38" t="s">
        <v>53</v>
      </c>
    </row>
    <row r="19" spans="1:32" ht="32.450000000000003" customHeight="1" x14ac:dyDescent="0.2">
      <c r="A19" s="38" t="s">
        <v>444</v>
      </c>
      <c r="B19" s="56" t="s">
        <v>429</v>
      </c>
      <c r="C19" s="56"/>
      <c r="D19" s="56" t="s">
        <v>711</v>
      </c>
      <c r="E19" s="70" t="s">
        <v>712</v>
      </c>
      <c r="F19" s="70"/>
      <c r="G19" s="43" t="s">
        <v>425</v>
      </c>
      <c r="H19" s="83"/>
      <c r="I19" s="86"/>
      <c r="J19" s="86"/>
      <c r="K19" s="86"/>
      <c r="L19" s="83"/>
      <c r="M19" s="86"/>
      <c r="N19" s="86"/>
      <c r="O19" s="86"/>
      <c r="P19" s="38">
        <f>SUM(Q19:W19)</f>
        <v>510</v>
      </c>
      <c r="Q19" s="38">
        <v>10</v>
      </c>
      <c r="R19" s="38"/>
      <c r="S19" s="38"/>
      <c r="T19" s="38"/>
      <c r="U19" s="38"/>
      <c r="V19" s="38">
        <v>500</v>
      </c>
      <c r="W19" s="38"/>
      <c r="X19" s="38">
        <f>SUM(Y19:AE19)</f>
        <v>10</v>
      </c>
      <c r="Y19" s="38">
        <v>10</v>
      </c>
      <c r="Z19" s="38"/>
      <c r="AA19" s="38"/>
      <c r="AB19" s="38"/>
      <c r="AC19" s="38"/>
      <c r="AD19" s="38"/>
      <c r="AE19" s="38"/>
      <c r="AF19" s="38"/>
    </row>
    <row r="20" spans="1:32" x14ac:dyDescent="0.2">
      <c r="A20" s="38" t="s">
        <v>573</v>
      </c>
      <c r="B20" s="38" t="s">
        <v>430</v>
      </c>
      <c r="C20" s="38">
        <v>51</v>
      </c>
      <c r="D20" s="38"/>
      <c r="E20" s="56"/>
      <c r="F20" s="56"/>
      <c r="G20" s="43" t="s">
        <v>425</v>
      </c>
      <c r="H20" s="83"/>
      <c r="I20" s="83"/>
      <c r="J20" s="86"/>
      <c r="K20" s="86"/>
      <c r="L20" s="86"/>
      <c r="M20" s="86"/>
      <c r="N20" s="86"/>
      <c r="O20" s="86"/>
      <c r="P20" s="38">
        <f t="shared" ref="P20" si="3">SUM(Q20:W20)</f>
        <v>810</v>
      </c>
      <c r="Q20" s="38"/>
      <c r="R20" s="38"/>
      <c r="S20" s="38"/>
      <c r="T20" s="38"/>
      <c r="U20" s="38"/>
      <c r="V20" s="38">
        <v>810</v>
      </c>
      <c r="W20" s="38"/>
      <c r="X20" s="38">
        <f t="shared" ref="X20" si="4">SUM(Y20:AE20)</f>
        <v>5218.8999999999996</v>
      </c>
      <c r="Y20" s="38">
        <v>50</v>
      </c>
      <c r="Z20" s="38"/>
      <c r="AA20" s="38">
        <v>5000</v>
      </c>
      <c r="AB20" s="38"/>
      <c r="AC20" s="38"/>
      <c r="AD20" s="38"/>
      <c r="AE20" s="38">
        <v>168.9</v>
      </c>
      <c r="AF20" s="38"/>
    </row>
    <row r="21" spans="1:32" x14ac:dyDescent="0.2">
      <c r="A21" s="38" t="s">
        <v>574</v>
      </c>
      <c r="B21" s="38" t="s">
        <v>431</v>
      </c>
      <c r="C21" s="38">
        <v>52</v>
      </c>
      <c r="D21" s="38"/>
      <c r="E21" s="56"/>
      <c r="F21" s="56"/>
      <c r="G21" s="43" t="s">
        <v>425</v>
      </c>
      <c r="H21" s="86"/>
      <c r="I21" s="83"/>
      <c r="J21" s="83"/>
      <c r="K21" s="83"/>
      <c r="L21" s="83"/>
      <c r="M21" s="86"/>
      <c r="N21" s="83"/>
      <c r="O21" s="83"/>
      <c r="P21" s="38">
        <f t="shared" ref="P21:P45" si="5">SUM(Q21:W21)</f>
        <v>500</v>
      </c>
      <c r="Q21" s="38"/>
      <c r="R21" s="38"/>
      <c r="S21" s="38"/>
      <c r="T21" s="38"/>
      <c r="U21" s="38"/>
      <c r="V21" s="38">
        <v>500</v>
      </c>
      <c r="W21" s="38"/>
      <c r="X21" s="38">
        <f t="shared" ref="X21:X45" si="6">SUM(Y21:AE21)</f>
        <v>500</v>
      </c>
      <c r="Y21" s="38"/>
      <c r="Z21" s="38"/>
      <c r="AA21" s="38"/>
      <c r="AB21" s="38"/>
      <c r="AC21" s="38"/>
      <c r="AD21" s="38">
        <v>500</v>
      </c>
      <c r="AE21" s="38"/>
      <c r="AF21" s="38"/>
    </row>
    <row r="22" spans="1:32" x14ac:dyDescent="0.2">
      <c r="A22" s="38" t="s">
        <v>575</v>
      </c>
      <c r="B22" s="38" t="s">
        <v>432</v>
      </c>
      <c r="C22" s="38">
        <v>52</v>
      </c>
      <c r="D22" s="38"/>
      <c r="E22" s="56"/>
      <c r="F22" s="56"/>
      <c r="G22" s="43" t="s">
        <v>425</v>
      </c>
      <c r="H22" s="83"/>
      <c r="I22" s="86"/>
      <c r="J22" s="83"/>
      <c r="K22" s="83"/>
      <c r="L22" s="83"/>
      <c r="M22" s="86"/>
      <c r="N22" s="83"/>
      <c r="O22" s="83"/>
      <c r="P22" s="38">
        <f t="shared" si="5"/>
        <v>450</v>
      </c>
      <c r="Q22" s="38"/>
      <c r="R22" s="38"/>
      <c r="S22" s="38"/>
      <c r="T22" s="38"/>
      <c r="U22" s="38"/>
      <c r="V22" s="53">
        <v>450</v>
      </c>
      <c r="W22" s="38"/>
      <c r="X22" s="38">
        <f t="shared" si="6"/>
        <v>450</v>
      </c>
      <c r="Y22" s="38"/>
      <c r="Z22" s="38"/>
      <c r="AA22" s="38"/>
      <c r="AB22" s="38"/>
      <c r="AC22" s="38"/>
      <c r="AD22" s="53">
        <v>450</v>
      </c>
      <c r="AE22" s="38"/>
      <c r="AF22" s="38"/>
    </row>
    <row r="23" spans="1:32" x14ac:dyDescent="0.2">
      <c r="A23" s="38" t="s">
        <v>576</v>
      </c>
      <c r="B23" s="38" t="s">
        <v>569</v>
      </c>
      <c r="C23" s="38">
        <v>53</v>
      </c>
      <c r="D23" s="38"/>
      <c r="E23" s="56"/>
      <c r="F23" s="56"/>
      <c r="G23" s="43" t="s">
        <v>570</v>
      </c>
      <c r="H23" s="98"/>
      <c r="I23" s="98"/>
      <c r="J23" s="98"/>
      <c r="K23" s="98"/>
      <c r="L23" s="98"/>
      <c r="M23" s="98"/>
      <c r="N23" s="98"/>
      <c r="O23" s="98"/>
      <c r="P23" s="38">
        <f t="shared" si="5"/>
        <v>294.5</v>
      </c>
      <c r="Q23" s="38">
        <f>848-Q40</f>
        <v>294.5</v>
      </c>
      <c r="R23" s="38"/>
      <c r="S23" s="38"/>
      <c r="T23" s="38"/>
      <c r="U23" s="38"/>
      <c r="V23" s="53"/>
      <c r="W23" s="38"/>
      <c r="X23" s="38">
        <f t="shared" si="6"/>
        <v>294.5</v>
      </c>
      <c r="Y23" s="38">
        <f>848-Y40</f>
        <v>294.5</v>
      </c>
      <c r="Z23" s="38"/>
      <c r="AA23" s="38"/>
      <c r="AB23" s="38"/>
      <c r="AC23" s="38"/>
      <c r="AD23" s="53"/>
      <c r="AE23" s="38"/>
      <c r="AF23" s="38"/>
    </row>
    <row r="24" spans="1:32" x14ac:dyDescent="0.2">
      <c r="A24" s="38" t="s">
        <v>577</v>
      </c>
      <c r="B24" s="38" t="s">
        <v>433</v>
      </c>
      <c r="C24" s="38">
        <v>52</v>
      </c>
      <c r="D24" s="38"/>
      <c r="E24" s="56"/>
      <c r="F24" s="56"/>
      <c r="G24" s="43" t="s">
        <v>425</v>
      </c>
      <c r="H24" s="83"/>
      <c r="I24" s="83"/>
      <c r="J24" s="86"/>
      <c r="K24" s="83"/>
      <c r="L24" s="83"/>
      <c r="M24" s="83"/>
      <c r="N24" s="86"/>
      <c r="O24" s="83"/>
      <c r="P24" s="38">
        <f t="shared" si="5"/>
        <v>50</v>
      </c>
      <c r="Q24" s="38"/>
      <c r="R24" s="38"/>
      <c r="S24" s="38"/>
      <c r="T24" s="38"/>
      <c r="U24" s="38"/>
      <c r="V24" s="53">
        <v>50</v>
      </c>
      <c r="W24" s="38"/>
      <c r="X24" s="38">
        <f t="shared" si="6"/>
        <v>50</v>
      </c>
      <c r="Y24" s="38"/>
      <c r="Z24" s="38"/>
      <c r="AA24" s="38"/>
      <c r="AB24" s="38"/>
      <c r="AC24" s="38"/>
      <c r="AD24" s="53">
        <v>50</v>
      </c>
      <c r="AE24" s="38"/>
      <c r="AF24" s="38"/>
    </row>
    <row r="25" spans="1:32" x14ac:dyDescent="0.2">
      <c r="A25" s="38" t="s">
        <v>578</v>
      </c>
      <c r="B25" s="38" t="s">
        <v>546</v>
      </c>
      <c r="C25" s="38">
        <v>54</v>
      </c>
      <c r="D25" s="38"/>
      <c r="E25" s="56"/>
      <c r="F25" s="56"/>
      <c r="G25" s="43" t="s">
        <v>475</v>
      </c>
      <c r="H25" s="83"/>
      <c r="I25" s="83"/>
      <c r="J25" s="86"/>
      <c r="K25" s="83"/>
      <c r="L25" s="83"/>
      <c r="M25" s="83"/>
      <c r="N25" s="86"/>
      <c r="O25" s="83"/>
      <c r="P25" s="38">
        <f t="shared" si="5"/>
        <v>1391.2</v>
      </c>
      <c r="Q25" s="38">
        <v>170</v>
      </c>
      <c r="R25" s="38"/>
      <c r="S25" s="38"/>
      <c r="T25" s="38"/>
      <c r="U25" s="38"/>
      <c r="V25" s="53">
        <v>1040</v>
      </c>
      <c r="W25" s="38">
        <v>181.2</v>
      </c>
      <c r="X25" s="38">
        <f>SUM(Y25:AF25)</f>
        <v>1278.4000000000001</v>
      </c>
      <c r="Y25" s="38">
        <v>147.19999999999999</v>
      </c>
      <c r="Z25" s="38"/>
      <c r="AA25" s="38"/>
      <c r="AB25" s="38"/>
      <c r="AC25" s="38"/>
      <c r="AD25" s="53">
        <v>950</v>
      </c>
      <c r="AE25" s="42">
        <v>181.2</v>
      </c>
      <c r="AF25" s="38"/>
    </row>
    <row r="26" spans="1:32" x14ac:dyDescent="0.2">
      <c r="A26" s="38" t="s">
        <v>579</v>
      </c>
      <c r="B26" s="38" t="s">
        <v>434</v>
      </c>
      <c r="C26" s="38">
        <v>53</v>
      </c>
      <c r="D26" s="38"/>
      <c r="E26" s="56"/>
      <c r="F26" s="56"/>
      <c r="G26" s="43" t="s">
        <v>425</v>
      </c>
      <c r="H26" s="86"/>
      <c r="I26" s="86"/>
      <c r="J26" s="86"/>
      <c r="K26" s="86"/>
      <c r="L26" s="86"/>
      <c r="M26" s="86"/>
      <c r="N26" s="86"/>
      <c r="O26" s="86"/>
      <c r="P26" s="38">
        <f t="shared" si="5"/>
        <v>1145.2</v>
      </c>
      <c r="Q26" s="38">
        <v>60</v>
      </c>
      <c r="R26" s="38"/>
      <c r="S26" s="38"/>
      <c r="T26" s="38"/>
      <c r="U26" s="38"/>
      <c r="V26" s="38">
        <v>1000</v>
      </c>
      <c r="W26" s="38">
        <v>85.2</v>
      </c>
      <c r="X26" s="38">
        <f t="shared" si="6"/>
        <v>1105.4000000000001</v>
      </c>
      <c r="Y26" s="38">
        <v>20.2</v>
      </c>
      <c r="Z26" s="38"/>
      <c r="AA26" s="38"/>
      <c r="AB26" s="38"/>
      <c r="AC26" s="38"/>
      <c r="AD26" s="38">
        <v>1000</v>
      </c>
      <c r="AE26" s="38">
        <v>85.2</v>
      </c>
      <c r="AF26" s="38"/>
    </row>
    <row r="27" spans="1:32" x14ac:dyDescent="0.2">
      <c r="A27" s="38" t="s">
        <v>580</v>
      </c>
      <c r="B27" s="38" t="s">
        <v>492</v>
      </c>
      <c r="C27" s="38">
        <v>54</v>
      </c>
      <c r="D27" s="38" t="s">
        <v>464</v>
      </c>
      <c r="E27" s="71">
        <v>1</v>
      </c>
      <c r="F27" s="71"/>
      <c r="G27" s="43" t="s">
        <v>481</v>
      </c>
      <c r="H27" s="86"/>
      <c r="I27" s="86"/>
      <c r="J27" s="86"/>
      <c r="K27" s="86"/>
      <c r="L27" s="86"/>
      <c r="M27" s="86"/>
      <c r="N27" s="86"/>
      <c r="O27" s="86"/>
      <c r="P27" s="38">
        <f t="shared" si="5"/>
        <v>1000</v>
      </c>
      <c r="Q27" s="38"/>
      <c r="R27" s="38"/>
      <c r="S27" s="38"/>
      <c r="T27" s="38"/>
      <c r="U27" s="38"/>
      <c r="V27" s="38">
        <v>1000</v>
      </c>
      <c r="W27" s="38"/>
      <c r="X27" s="38">
        <f t="shared" si="6"/>
        <v>1000</v>
      </c>
      <c r="Y27" s="38"/>
      <c r="Z27" s="38"/>
      <c r="AA27" s="38"/>
      <c r="AB27" s="38"/>
      <c r="AC27" s="38"/>
      <c r="AD27" s="38">
        <v>1000</v>
      </c>
      <c r="AE27" s="38"/>
      <c r="AF27" s="38" t="s">
        <v>436</v>
      </c>
    </row>
    <row r="28" spans="1:32" x14ac:dyDescent="0.2">
      <c r="A28" s="38" t="s">
        <v>581</v>
      </c>
      <c r="B28" s="38" t="s">
        <v>435</v>
      </c>
      <c r="C28" s="38">
        <v>54</v>
      </c>
      <c r="D28" s="38"/>
      <c r="E28" s="56"/>
      <c r="F28" s="56"/>
      <c r="G28" s="43" t="s">
        <v>483</v>
      </c>
      <c r="H28" s="86"/>
      <c r="I28" s="86"/>
      <c r="J28" s="86"/>
      <c r="K28" s="86"/>
      <c r="L28" s="83"/>
      <c r="M28" s="83"/>
      <c r="N28" s="83"/>
      <c r="O28" s="83"/>
      <c r="P28" s="38">
        <f t="shared" si="5"/>
        <v>2000</v>
      </c>
      <c r="Q28" s="38"/>
      <c r="R28" s="38"/>
      <c r="S28" s="38">
        <v>1000</v>
      </c>
      <c r="T28" s="38"/>
      <c r="U28" s="38"/>
      <c r="V28" s="38">
        <v>1000</v>
      </c>
      <c r="W28" s="38"/>
      <c r="X28" s="38">
        <f t="shared" si="6"/>
        <v>2000</v>
      </c>
      <c r="Y28" s="38"/>
      <c r="Z28" s="38"/>
      <c r="AA28" s="38">
        <v>1000</v>
      </c>
      <c r="AB28" s="38"/>
      <c r="AC28" s="38"/>
      <c r="AD28" s="38">
        <v>1000</v>
      </c>
      <c r="AE28" s="38"/>
      <c r="AF28" s="38"/>
    </row>
    <row r="29" spans="1:32" x14ac:dyDescent="0.2">
      <c r="A29" s="38" t="s">
        <v>582</v>
      </c>
      <c r="B29" s="38" t="s">
        <v>595</v>
      </c>
      <c r="C29" s="38">
        <v>53</v>
      </c>
      <c r="D29" s="38"/>
      <c r="E29" s="56"/>
      <c r="F29" s="56"/>
      <c r="G29" s="43" t="s">
        <v>300</v>
      </c>
      <c r="H29" s="86"/>
      <c r="I29" s="86"/>
      <c r="J29" s="86"/>
      <c r="K29" s="86"/>
      <c r="L29" s="86"/>
      <c r="M29" s="86"/>
      <c r="N29" s="86"/>
      <c r="O29" s="86"/>
      <c r="P29" s="38">
        <f t="shared" si="5"/>
        <v>728.90000000000009</v>
      </c>
      <c r="Q29" s="38">
        <f>2143.8-Q38</f>
        <v>728.90000000000009</v>
      </c>
      <c r="R29" s="38"/>
      <c r="S29" s="38"/>
      <c r="T29" s="38"/>
      <c r="U29" s="38"/>
      <c r="V29" s="38"/>
      <c r="W29" s="38"/>
      <c r="X29" s="38">
        <f t="shared" si="6"/>
        <v>728.90000000000009</v>
      </c>
      <c r="Y29" s="38">
        <f>2143.8-Y38</f>
        <v>728.90000000000009</v>
      </c>
      <c r="Z29" s="38"/>
      <c r="AA29" s="38"/>
      <c r="AB29" s="38"/>
      <c r="AC29" s="38"/>
      <c r="AD29" s="38"/>
      <c r="AE29" s="38"/>
      <c r="AF29" s="38"/>
    </row>
    <row r="30" spans="1:32" ht="22.5" x14ac:dyDescent="0.2">
      <c r="A30" s="38" t="s">
        <v>583</v>
      </c>
      <c r="B30" s="56" t="s">
        <v>614</v>
      </c>
      <c r="C30" s="56">
        <v>53</v>
      </c>
      <c r="D30" s="38"/>
      <c r="E30" s="56"/>
      <c r="F30" s="56"/>
      <c r="G30" s="43" t="s">
        <v>292</v>
      </c>
      <c r="H30" s="86"/>
      <c r="I30" s="86"/>
      <c r="J30" s="86"/>
      <c r="K30" s="86"/>
      <c r="L30" s="86"/>
      <c r="M30" s="86"/>
      <c r="N30" s="86"/>
      <c r="O30" s="86"/>
      <c r="P30" s="38">
        <f t="shared" si="5"/>
        <v>1310.25</v>
      </c>
      <c r="Q30" s="38">
        <f>264.5+713.8+335.9-Q37+(2154.1-Q42)/2+(700-Q44)</f>
        <v>1046.55</v>
      </c>
      <c r="R30" s="38"/>
      <c r="S30" s="38"/>
      <c r="T30" s="38"/>
      <c r="U30" s="38"/>
      <c r="V30" s="38"/>
      <c r="W30" s="38">
        <v>263.7</v>
      </c>
      <c r="X30" s="38">
        <f t="shared" si="6"/>
        <v>1444.05</v>
      </c>
      <c r="Y30" s="38">
        <f>264.5+713.8+335.9-Y37+(2337.7-Y42)/2+(742-Y44)</f>
        <v>1180.3499999999999</v>
      </c>
      <c r="Z30" s="38"/>
      <c r="AA30" s="38"/>
      <c r="AB30" s="38"/>
      <c r="AC30" s="38"/>
      <c r="AD30" s="38"/>
      <c r="AE30" s="38">
        <v>263.7</v>
      </c>
      <c r="AF30" s="38"/>
    </row>
    <row r="31" spans="1:32" x14ac:dyDescent="0.2">
      <c r="A31" s="38" t="s">
        <v>584</v>
      </c>
      <c r="B31" s="38" t="s">
        <v>437</v>
      </c>
      <c r="C31" s="38">
        <v>54</v>
      </c>
      <c r="D31" s="38" t="s">
        <v>476</v>
      </c>
      <c r="E31" s="56" t="s">
        <v>477</v>
      </c>
      <c r="F31" s="56"/>
      <c r="G31" s="43" t="s">
        <v>475</v>
      </c>
      <c r="H31" s="83"/>
      <c r="I31" s="83"/>
      <c r="J31" s="83"/>
      <c r="K31" s="86"/>
      <c r="L31" s="83"/>
      <c r="M31" s="83"/>
      <c r="N31" s="83"/>
      <c r="O31" s="86"/>
      <c r="P31" s="38">
        <f t="shared" si="5"/>
        <v>68.900000000000006</v>
      </c>
      <c r="Q31" s="38"/>
      <c r="R31" s="38"/>
      <c r="S31" s="38"/>
      <c r="T31" s="38"/>
      <c r="U31" s="38"/>
      <c r="V31" s="38"/>
      <c r="W31" s="38">
        <v>68.900000000000006</v>
      </c>
      <c r="X31" s="38">
        <f t="shared" si="6"/>
        <v>38.9</v>
      </c>
      <c r="Y31" s="38"/>
      <c r="Z31" s="38"/>
      <c r="AA31" s="38"/>
      <c r="AB31" s="38"/>
      <c r="AC31" s="38"/>
      <c r="AD31" s="38"/>
      <c r="AE31" s="38">
        <v>38.9</v>
      </c>
      <c r="AF31" s="38"/>
    </row>
    <row r="33" spans="1:32" ht="22.5" x14ac:dyDescent="0.2">
      <c r="A33" s="38" t="s">
        <v>586</v>
      </c>
      <c r="B33" s="38" t="s">
        <v>441</v>
      </c>
      <c r="C33" s="38">
        <v>52</v>
      </c>
      <c r="D33" s="56" t="s">
        <v>473</v>
      </c>
      <c r="E33" s="56" t="s">
        <v>474</v>
      </c>
      <c r="F33" s="56"/>
      <c r="G33" s="43" t="s">
        <v>475</v>
      </c>
      <c r="H33" s="86"/>
      <c r="I33" s="86"/>
      <c r="J33" s="83"/>
      <c r="K33" s="83"/>
      <c r="L33" s="83"/>
      <c r="M33" s="83"/>
      <c r="N33" s="83"/>
      <c r="O33" s="83"/>
      <c r="P33" s="38">
        <f t="shared" si="5"/>
        <v>50</v>
      </c>
      <c r="Q33" s="38"/>
      <c r="R33" s="38"/>
      <c r="S33" s="38"/>
      <c r="T33" s="38"/>
      <c r="U33" s="38"/>
      <c r="V33" s="53">
        <v>50</v>
      </c>
      <c r="W33" s="38"/>
      <c r="X33" s="38">
        <f t="shared" si="6"/>
        <v>50</v>
      </c>
      <c r="Y33" s="38"/>
      <c r="Z33" s="38"/>
      <c r="AA33" s="38"/>
      <c r="AB33" s="38"/>
      <c r="AC33" s="38"/>
      <c r="AD33" s="53">
        <v>50</v>
      </c>
      <c r="AE33" s="38"/>
      <c r="AF33" s="38" t="s">
        <v>493</v>
      </c>
    </row>
    <row r="34" spans="1:32" x14ac:dyDescent="0.2">
      <c r="A34" s="38" t="s">
        <v>587</v>
      </c>
      <c r="B34" s="38" t="s">
        <v>668</v>
      </c>
      <c r="C34" s="38">
        <v>66</v>
      </c>
      <c r="D34" s="74" t="s">
        <v>669</v>
      </c>
      <c r="E34" s="56"/>
      <c r="F34" s="56"/>
      <c r="G34" s="43"/>
      <c r="H34" s="83"/>
      <c r="I34" s="83"/>
      <c r="J34" s="83"/>
      <c r="K34" s="83"/>
      <c r="L34" s="83"/>
      <c r="M34" s="83"/>
      <c r="N34" s="83"/>
      <c r="O34" s="83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</row>
    <row r="35" spans="1:32" x14ac:dyDescent="0.2">
      <c r="A35" s="38" t="s">
        <v>588</v>
      </c>
      <c r="B35" s="38" t="s">
        <v>478</v>
      </c>
      <c r="C35" s="38">
        <v>51</v>
      </c>
      <c r="D35" s="38"/>
      <c r="E35" s="56"/>
      <c r="F35" s="56"/>
      <c r="G35" s="43" t="s">
        <v>505</v>
      </c>
      <c r="H35" s="86"/>
      <c r="I35" s="86"/>
      <c r="J35" s="86"/>
      <c r="K35" s="86"/>
      <c r="L35" s="83"/>
      <c r="M35" s="83"/>
      <c r="N35" s="83"/>
      <c r="O35" s="83"/>
      <c r="P35" s="38">
        <f t="shared" si="5"/>
        <v>48</v>
      </c>
      <c r="Q35" s="38">
        <v>48</v>
      </c>
      <c r="R35" s="38"/>
      <c r="S35" s="38"/>
      <c r="T35" s="38"/>
      <c r="U35" s="38"/>
      <c r="V35" s="38"/>
      <c r="W35" s="38"/>
      <c r="X35" s="38">
        <f t="shared" si="6"/>
        <v>1060</v>
      </c>
      <c r="Y35" s="38">
        <v>30</v>
      </c>
      <c r="Z35" s="38"/>
      <c r="AA35" s="38"/>
      <c r="AB35" s="38"/>
      <c r="AC35" s="38"/>
      <c r="AD35" s="53">
        <v>900</v>
      </c>
      <c r="AE35" s="38">
        <v>130</v>
      </c>
      <c r="AF35" s="38"/>
    </row>
    <row r="36" spans="1:32" x14ac:dyDescent="0.2">
      <c r="A36" s="38" t="s">
        <v>589</v>
      </c>
      <c r="B36" s="38" t="s">
        <v>656</v>
      </c>
      <c r="C36" s="38"/>
      <c r="D36" s="38"/>
      <c r="E36" s="56"/>
      <c r="F36" s="56"/>
      <c r="G36" s="43" t="s">
        <v>572</v>
      </c>
      <c r="H36" s="86"/>
      <c r="I36" s="86"/>
      <c r="J36" s="86"/>
      <c r="K36" s="86"/>
      <c r="L36" s="86"/>
      <c r="M36" s="86"/>
      <c r="N36" s="86"/>
      <c r="O36" s="86"/>
      <c r="P36" s="38">
        <f t="shared" si="5"/>
        <v>1196.6999999999998</v>
      </c>
      <c r="Q36" s="38">
        <f>2337.7-Q39</f>
        <v>881.99999999999977</v>
      </c>
      <c r="R36" s="38"/>
      <c r="S36" s="38"/>
      <c r="T36" s="38"/>
      <c r="U36" s="38"/>
      <c r="V36" s="38"/>
      <c r="W36" s="38">
        <f>92.4+222.3</f>
        <v>314.70000000000005</v>
      </c>
      <c r="X36" s="38">
        <f t="shared" si="6"/>
        <v>1340.8999999999999</v>
      </c>
      <c r="Y36" s="38">
        <f>2482.2-Y39</f>
        <v>1026.1999999999998</v>
      </c>
      <c r="Z36" s="38"/>
      <c r="AA36" s="38"/>
      <c r="AB36" s="38"/>
      <c r="AC36" s="38"/>
      <c r="AD36" s="38"/>
      <c r="AE36" s="38">
        <v>314.7</v>
      </c>
      <c r="AF36" s="38"/>
    </row>
    <row r="37" spans="1:32" x14ac:dyDescent="0.2">
      <c r="A37" s="38" t="s">
        <v>590</v>
      </c>
      <c r="B37" s="38" t="s">
        <v>530</v>
      </c>
      <c r="C37" s="38"/>
      <c r="D37" s="38"/>
      <c r="E37" s="56"/>
      <c r="F37" s="56"/>
      <c r="G37" s="43" t="s">
        <v>292</v>
      </c>
      <c r="H37" s="86"/>
      <c r="I37" s="86"/>
      <c r="J37" s="86"/>
      <c r="K37" s="86"/>
      <c r="L37" s="86"/>
      <c r="M37" s="86"/>
      <c r="N37" s="86"/>
      <c r="O37" s="86"/>
      <c r="P37" s="38">
        <f t="shared" si="5"/>
        <v>956.19999999999993</v>
      </c>
      <c r="Q37" s="38">
        <f>194.5+500.8+65+135.9+60</f>
        <v>956.19999999999993</v>
      </c>
      <c r="R37" s="38"/>
      <c r="S37" s="38"/>
      <c r="T37" s="38"/>
      <c r="U37" s="38"/>
      <c r="V37" s="38"/>
      <c r="W37" s="38"/>
      <c r="X37" s="38">
        <f t="shared" si="6"/>
        <v>956.19999999999993</v>
      </c>
      <c r="Y37" s="38">
        <f>194.5+500.8+65+135.9+60</f>
        <v>956.19999999999993</v>
      </c>
      <c r="Z37" s="38"/>
      <c r="AA37" s="38"/>
      <c r="AB37" s="38"/>
      <c r="AC37" s="38"/>
      <c r="AD37" s="38"/>
      <c r="AE37" s="38"/>
      <c r="AF37" s="38"/>
    </row>
    <row r="38" spans="1:32" x14ac:dyDescent="0.2">
      <c r="A38" s="38" t="s">
        <v>591</v>
      </c>
      <c r="B38" s="38" t="s">
        <v>542</v>
      </c>
      <c r="C38" s="38"/>
      <c r="D38" s="38"/>
      <c r="E38" s="56"/>
      <c r="F38" s="56"/>
      <c r="G38" s="43" t="s">
        <v>300</v>
      </c>
      <c r="H38" s="86"/>
      <c r="I38" s="86"/>
      <c r="J38" s="86"/>
      <c r="K38" s="86"/>
      <c r="L38" s="86"/>
      <c r="M38" s="86"/>
      <c r="N38" s="86"/>
      <c r="O38" s="86"/>
      <c r="P38" s="38">
        <f t="shared" si="5"/>
        <v>1414.9</v>
      </c>
      <c r="Q38" s="38">
        <f>1284.9+130</f>
        <v>1414.9</v>
      </c>
      <c r="R38" s="38"/>
      <c r="S38" s="38"/>
      <c r="T38" s="38"/>
      <c r="U38" s="38"/>
      <c r="V38" s="38"/>
      <c r="W38" s="38"/>
      <c r="X38" s="38">
        <f t="shared" si="6"/>
        <v>1414.9</v>
      </c>
      <c r="Y38" s="38">
        <f>1284.9+130</f>
        <v>1414.9</v>
      </c>
      <c r="Z38" s="38"/>
      <c r="AA38" s="38"/>
      <c r="AB38" s="38"/>
      <c r="AC38" s="38"/>
      <c r="AD38" s="38"/>
      <c r="AE38" s="38"/>
      <c r="AF38" s="38"/>
    </row>
    <row r="39" spans="1:32" x14ac:dyDescent="0.2">
      <c r="A39" s="38" t="s">
        <v>592</v>
      </c>
      <c r="B39" s="38" t="s">
        <v>571</v>
      </c>
      <c r="C39" s="38"/>
      <c r="D39" s="38"/>
      <c r="E39" s="56"/>
      <c r="F39" s="56"/>
      <c r="G39" s="43"/>
      <c r="H39" s="86"/>
      <c r="I39" s="86"/>
      <c r="J39" s="86"/>
      <c r="K39" s="86"/>
      <c r="L39" s="86"/>
      <c r="M39" s="86"/>
      <c r="N39" s="86"/>
      <c r="O39" s="86"/>
      <c r="P39" s="38">
        <f t="shared" si="5"/>
        <v>1455.7</v>
      </c>
      <c r="Q39" s="38">
        <f>1215.7+180+20+40</f>
        <v>1455.7</v>
      </c>
      <c r="R39" s="38"/>
      <c r="S39" s="38"/>
      <c r="T39" s="38"/>
      <c r="U39" s="38"/>
      <c r="V39" s="38"/>
      <c r="W39" s="38"/>
      <c r="X39" s="38">
        <f t="shared" si="6"/>
        <v>1456</v>
      </c>
      <c r="Y39" s="38">
        <v>1456</v>
      </c>
      <c r="Z39" s="38"/>
      <c r="AA39" s="38"/>
      <c r="AB39" s="38"/>
      <c r="AC39" s="38"/>
      <c r="AD39" s="38"/>
      <c r="AE39" s="38"/>
      <c r="AF39" s="38"/>
    </row>
    <row r="40" spans="1:32" x14ac:dyDescent="0.2">
      <c r="A40" s="38" t="s">
        <v>593</v>
      </c>
      <c r="B40" s="38" t="s">
        <v>568</v>
      </c>
      <c r="C40" s="38"/>
      <c r="D40" s="38"/>
      <c r="E40" s="56"/>
      <c r="F40" s="56"/>
      <c r="G40" s="43" t="s">
        <v>570</v>
      </c>
      <c r="H40" s="86"/>
      <c r="I40" s="86"/>
      <c r="J40" s="86"/>
      <c r="K40" s="86"/>
      <c r="L40" s="86"/>
      <c r="M40" s="86"/>
      <c r="N40" s="86"/>
      <c r="O40" s="86"/>
      <c r="P40" s="38">
        <f t="shared" si="5"/>
        <v>553.5</v>
      </c>
      <c r="Q40" s="38">
        <v>553.5</v>
      </c>
      <c r="R40" s="38"/>
      <c r="S40" s="38"/>
      <c r="T40" s="38"/>
      <c r="U40" s="38"/>
      <c r="V40" s="38"/>
      <c r="W40" s="38"/>
      <c r="X40" s="38">
        <f t="shared" si="6"/>
        <v>553.5</v>
      </c>
      <c r="Y40" s="38">
        <v>553.5</v>
      </c>
      <c r="Z40" s="38"/>
      <c r="AA40" s="38"/>
      <c r="AB40" s="38"/>
      <c r="AC40" s="38"/>
      <c r="AD40" s="38"/>
      <c r="AE40" s="38"/>
      <c r="AF40" s="38"/>
    </row>
    <row r="41" spans="1:32" x14ac:dyDescent="0.2">
      <c r="A41" s="38" t="s">
        <v>594</v>
      </c>
      <c r="B41" s="38" t="s">
        <v>525</v>
      </c>
      <c r="C41" s="38"/>
      <c r="D41" s="56"/>
      <c r="E41" s="69"/>
      <c r="F41" s="69"/>
      <c r="G41" s="43" t="s">
        <v>425</v>
      </c>
      <c r="H41" s="73"/>
      <c r="I41" s="73"/>
      <c r="J41" s="73"/>
      <c r="K41" s="73"/>
      <c r="L41" s="73"/>
      <c r="M41" s="73"/>
      <c r="N41" s="73"/>
      <c r="O41" s="73"/>
      <c r="P41" s="38">
        <f t="shared" si="5"/>
        <v>1100</v>
      </c>
      <c r="Q41" s="38">
        <v>1100</v>
      </c>
      <c r="R41" s="38"/>
      <c r="S41" s="38"/>
      <c r="T41" s="38"/>
      <c r="U41" s="38"/>
      <c r="V41" s="38"/>
      <c r="W41" s="38"/>
      <c r="X41" s="38">
        <f t="shared" si="6"/>
        <v>1100</v>
      </c>
      <c r="Y41" s="38">
        <v>1100</v>
      </c>
      <c r="Z41" s="38"/>
      <c r="AA41" s="38"/>
      <c r="AB41" s="38"/>
      <c r="AC41" s="38"/>
      <c r="AD41" s="38"/>
      <c r="AE41" s="38"/>
      <c r="AF41" s="38"/>
    </row>
    <row r="42" spans="1:32" x14ac:dyDescent="0.2">
      <c r="A42" s="38" t="s">
        <v>599</v>
      </c>
      <c r="B42" s="38" t="s">
        <v>520</v>
      </c>
      <c r="C42" s="38"/>
      <c r="D42" s="56"/>
      <c r="E42" s="69"/>
      <c r="F42" s="69"/>
      <c r="G42" s="43" t="s">
        <v>617</v>
      </c>
      <c r="H42" s="73"/>
      <c r="I42" s="73"/>
      <c r="J42" s="73"/>
      <c r="K42" s="73"/>
      <c r="L42" s="73"/>
      <c r="M42" s="73"/>
      <c r="N42" s="73"/>
      <c r="O42" s="73"/>
      <c r="P42" s="38">
        <f t="shared" si="5"/>
        <v>1306.5999999999999</v>
      </c>
      <c r="Q42" s="38">
        <f>617.8+688.8</f>
        <v>1306.5999999999999</v>
      </c>
      <c r="R42" s="38"/>
      <c r="S42" s="38"/>
      <c r="T42" s="38"/>
      <c r="U42" s="38"/>
      <c r="V42" s="38"/>
      <c r="W42" s="38"/>
      <c r="X42" s="38">
        <f t="shared" si="6"/>
        <v>1306.5999999999999</v>
      </c>
      <c r="Y42" s="38">
        <f>Q42</f>
        <v>1306.5999999999999</v>
      </c>
      <c r="Z42" s="38"/>
      <c r="AA42" s="38"/>
      <c r="AB42" s="38"/>
      <c r="AC42" s="38"/>
      <c r="AD42" s="38"/>
      <c r="AE42" s="38"/>
      <c r="AF42" s="38"/>
    </row>
    <row r="43" spans="1:32" x14ac:dyDescent="0.2">
      <c r="A43" s="38" t="s">
        <v>612</v>
      </c>
      <c r="B43" s="38" t="s">
        <v>545</v>
      </c>
      <c r="C43" s="38"/>
      <c r="D43" s="56"/>
      <c r="E43" s="69"/>
      <c r="F43" s="69"/>
      <c r="G43" s="43" t="s">
        <v>618</v>
      </c>
      <c r="H43" s="73"/>
      <c r="I43" s="73"/>
      <c r="J43" s="73"/>
      <c r="K43" s="73"/>
      <c r="L43" s="73"/>
      <c r="M43" s="73"/>
      <c r="N43" s="73"/>
      <c r="O43" s="73"/>
      <c r="P43" s="38">
        <f t="shared" si="5"/>
        <v>714.1</v>
      </c>
      <c r="Q43" s="38">
        <f>689.1+25</f>
        <v>714.1</v>
      </c>
      <c r="R43" s="38"/>
      <c r="S43" s="38"/>
      <c r="T43" s="38"/>
      <c r="U43" s="38"/>
      <c r="V43" s="38"/>
      <c r="W43" s="38"/>
      <c r="X43" s="38">
        <f t="shared" si="6"/>
        <v>714.1</v>
      </c>
      <c r="Y43" s="38">
        <v>714.1</v>
      </c>
      <c r="Z43" s="38"/>
      <c r="AA43" s="38"/>
      <c r="AB43" s="38"/>
      <c r="AC43" s="38"/>
      <c r="AD43" s="38"/>
      <c r="AE43" s="38"/>
      <c r="AF43" s="38"/>
    </row>
    <row r="44" spans="1:32" x14ac:dyDescent="0.2">
      <c r="A44" s="38" t="s">
        <v>616</v>
      </c>
      <c r="B44" s="38" t="s">
        <v>615</v>
      </c>
      <c r="C44" s="38"/>
      <c r="D44" s="56"/>
      <c r="E44" s="69"/>
      <c r="F44" s="69"/>
      <c r="G44" s="43" t="s">
        <v>619</v>
      </c>
      <c r="H44" s="73"/>
      <c r="I44" s="73"/>
      <c r="J44" s="73"/>
      <c r="K44" s="73"/>
      <c r="L44" s="73"/>
      <c r="M44" s="73"/>
      <c r="N44" s="73"/>
      <c r="O44" s="73"/>
      <c r="P44" s="38">
        <f t="shared" si="5"/>
        <v>435.2</v>
      </c>
      <c r="Q44" s="38">
        <v>435.2</v>
      </c>
      <c r="R44" s="38"/>
      <c r="S44" s="38"/>
      <c r="T44" s="38"/>
      <c r="U44" s="38"/>
      <c r="V44" s="38"/>
      <c r="W44" s="38"/>
      <c r="X44" s="38">
        <f t="shared" si="6"/>
        <v>435.2</v>
      </c>
      <c r="Y44" s="38">
        <v>435.2</v>
      </c>
      <c r="Z44" s="38"/>
      <c r="AA44" s="38"/>
      <c r="AB44" s="38"/>
      <c r="AC44" s="38"/>
      <c r="AD44" s="38"/>
      <c r="AE44" s="38"/>
      <c r="AF44" s="38"/>
    </row>
    <row r="45" spans="1:32" x14ac:dyDescent="0.2">
      <c r="A45" s="38" t="s">
        <v>670</v>
      </c>
      <c r="B45" s="38" t="s">
        <v>526</v>
      </c>
      <c r="C45" s="38"/>
      <c r="D45" s="56"/>
      <c r="E45" s="69"/>
      <c r="F45" s="69"/>
      <c r="G45" s="85" t="s">
        <v>475</v>
      </c>
      <c r="H45" s="73"/>
      <c r="I45" s="73"/>
      <c r="J45" s="73"/>
      <c r="K45" s="73"/>
      <c r="L45" s="73"/>
      <c r="M45" s="73"/>
      <c r="N45" s="73"/>
      <c r="O45" s="73"/>
      <c r="P45" s="38">
        <f t="shared" si="5"/>
        <v>633.79999999999995</v>
      </c>
      <c r="Q45" s="38">
        <v>633.79999999999995</v>
      </c>
      <c r="R45" s="38"/>
      <c r="S45" s="38"/>
      <c r="T45" s="38"/>
      <c r="U45" s="38"/>
      <c r="V45" s="38"/>
      <c r="W45" s="38"/>
      <c r="X45" s="38">
        <f t="shared" si="6"/>
        <v>633.79999999999995</v>
      </c>
      <c r="Y45" s="38">
        <v>633.79999999999995</v>
      </c>
      <c r="Z45" s="38"/>
      <c r="AA45" s="38"/>
      <c r="AB45" s="38"/>
      <c r="AC45" s="38"/>
      <c r="AD45" s="38"/>
      <c r="AE45" s="38"/>
      <c r="AF45" s="38"/>
    </row>
    <row r="46" spans="1:32" x14ac:dyDescent="0.2">
      <c r="G46" s="88"/>
      <c r="O46" s="89" t="s">
        <v>52</v>
      </c>
      <c r="P46" s="90">
        <f t="shared" ref="P46:AE46" si="7">SUM(P19:P45)</f>
        <v>20123.649999999994</v>
      </c>
      <c r="Q46" s="90">
        <f t="shared" si="7"/>
        <v>11809.95</v>
      </c>
      <c r="R46" s="90">
        <f t="shared" si="7"/>
        <v>0</v>
      </c>
      <c r="S46" s="90">
        <f t="shared" si="7"/>
        <v>1000</v>
      </c>
      <c r="T46" s="90">
        <f t="shared" si="7"/>
        <v>0</v>
      </c>
      <c r="U46" s="90">
        <f t="shared" si="7"/>
        <v>0</v>
      </c>
      <c r="V46" s="90">
        <f t="shared" si="7"/>
        <v>6400</v>
      </c>
      <c r="W46" s="90">
        <f t="shared" si="7"/>
        <v>913.69999999999993</v>
      </c>
      <c r="X46" s="90">
        <f t="shared" si="7"/>
        <v>25140.249999999996</v>
      </c>
      <c r="Y46" s="90">
        <f t="shared" si="7"/>
        <v>12057.650000000001</v>
      </c>
      <c r="Z46" s="90">
        <f t="shared" si="7"/>
        <v>0</v>
      </c>
      <c r="AA46" s="90">
        <f t="shared" si="7"/>
        <v>6000</v>
      </c>
      <c r="AB46" s="90">
        <f t="shared" si="7"/>
        <v>0</v>
      </c>
      <c r="AC46" s="90">
        <f t="shared" si="7"/>
        <v>0</v>
      </c>
      <c r="AD46" s="90">
        <f t="shared" si="7"/>
        <v>5900</v>
      </c>
      <c r="AE46" s="90">
        <f t="shared" si="7"/>
        <v>1182.5999999999999</v>
      </c>
    </row>
    <row r="48" spans="1:32" x14ac:dyDescent="0.2">
      <c r="A48" s="42">
        <v>6.3</v>
      </c>
      <c r="B48" s="67" t="s">
        <v>388</v>
      </c>
      <c r="C48" s="67"/>
    </row>
    <row r="49" spans="1:32" x14ac:dyDescent="0.2">
      <c r="A49" s="42">
        <v>55</v>
      </c>
      <c r="B49" s="40" t="s">
        <v>387</v>
      </c>
      <c r="C49" s="40"/>
    </row>
    <row r="50" spans="1:32" x14ac:dyDescent="0.2">
      <c r="A50" s="42">
        <v>56</v>
      </c>
      <c r="B50" s="40" t="s">
        <v>389</v>
      </c>
      <c r="C50" s="40"/>
    </row>
    <row r="51" spans="1:32" x14ac:dyDescent="0.2">
      <c r="A51" s="42">
        <v>57</v>
      </c>
      <c r="B51" s="40" t="s">
        <v>390</v>
      </c>
      <c r="C51" s="40"/>
    </row>
    <row r="52" spans="1:32" x14ac:dyDescent="0.2">
      <c r="A52" s="42">
        <v>58</v>
      </c>
      <c r="B52" s="40" t="s">
        <v>391</v>
      </c>
      <c r="C52" s="40"/>
    </row>
    <row r="53" spans="1:32" x14ac:dyDescent="0.2">
      <c r="A53" s="42">
        <v>59</v>
      </c>
      <c r="B53" s="40" t="s">
        <v>392</v>
      </c>
      <c r="C53" s="40"/>
    </row>
    <row r="54" spans="1:32" x14ac:dyDescent="0.2">
      <c r="H54" s="122" t="s">
        <v>58</v>
      </c>
      <c r="I54" s="122"/>
      <c r="J54" s="122"/>
      <c r="K54" s="122"/>
      <c r="L54" s="122"/>
      <c r="M54" s="122"/>
      <c r="N54" s="122"/>
      <c r="O54" s="122"/>
      <c r="P54" s="123" t="s">
        <v>61</v>
      </c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</row>
    <row r="55" spans="1:32" x14ac:dyDescent="0.2">
      <c r="H55" s="124">
        <v>2019</v>
      </c>
      <c r="I55" s="124"/>
      <c r="J55" s="124"/>
      <c r="K55" s="124"/>
      <c r="L55" s="124">
        <v>2020</v>
      </c>
      <c r="M55" s="124"/>
      <c r="N55" s="124"/>
      <c r="O55" s="124"/>
      <c r="P55" s="124">
        <v>2019</v>
      </c>
      <c r="Q55" s="124"/>
      <c r="R55" s="124"/>
      <c r="S55" s="124"/>
      <c r="T55" s="124"/>
      <c r="U55" s="124"/>
      <c r="V55" s="124"/>
      <c r="W55" s="124"/>
      <c r="X55" s="125">
        <v>2020</v>
      </c>
      <c r="Y55" s="126"/>
      <c r="Z55" s="126"/>
      <c r="AA55" s="126"/>
      <c r="AB55" s="126"/>
      <c r="AC55" s="126"/>
      <c r="AD55" s="126"/>
      <c r="AE55" s="127"/>
    </row>
    <row r="56" spans="1:32" x14ac:dyDescent="0.2">
      <c r="A56" s="38"/>
      <c r="B56" s="68" t="s">
        <v>42</v>
      </c>
      <c r="C56" s="68" t="s">
        <v>761</v>
      </c>
      <c r="D56" s="68" t="s">
        <v>47</v>
      </c>
      <c r="E56" s="68" t="s">
        <v>48</v>
      </c>
      <c r="F56" s="68" t="s">
        <v>771</v>
      </c>
      <c r="G56" s="80" t="s">
        <v>43</v>
      </c>
      <c r="H56" s="103" t="s">
        <v>25</v>
      </c>
      <c r="I56" s="103" t="s">
        <v>28</v>
      </c>
      <c r="J56" s="103" t="s">
        <v>27</v>
      </c>
      <c r="K56" s="103" t="s">
        <v>26</v>
      </c>
      <c r="L56" s="103" t="s">
        <v>25</v>
      </c>
      <c r="M56" s="103" t="s">
        <v>28</v>
      </c>
      <c r="N56" s="103" t="s">
        <v>27</v>
      </c>
      <c r="O56" s="103" t="s">
        <v>26</v>
      </c>
      <c r="P56" s="68" t="s">
        <v>52</v>
      </c>
      <c r="Q56" s="38" t="s">
        <v>60</v>
      </c>
      <c r="R56" s="38" t="s">
        <v>62</v>
      </c>
      <c r="S56" s="38" t="s">
        <v>59</v>
      </c>
      <c r="T56" s="38" t="s">
        <v>63</v>
      </c>
      <c r="U56" s="38" t="s">
        <v>49</v>
      </c>
      <c r="V56" s="38" t="s">
        <v>50</v>
      </c>
      <c r="W56" s="38" t="s">
        <v>51</v>
      </c>
      <c r="X56" s="68" t="s">
        <v>52</v>
      </c>
      <c r="Y56" s="38" t="s">
        <v>60</v>
      </c>
      <c r="Z56" s="38" t="s">
        <v>62</v>
      </c>
      <c r="AA56" s="38" t="s">
        <v>59</v>
      </c>
      <c r="AB56" s="38" t="s">
        <v>63</v>
      </c>
      <c r="AC56" s="38" t="s">
        <v>49</v>
      </c>
      <c r="AD56" s="38" t="s">
        <v>50</v>
      </c>
      <c r="AE56" s="38" t="s">
        <v>51</v>
      </c>
      <c r="AF56" s="38" t="s">
        <v>53</v>
      </c>
    </row>
    <row r="57" spans="1:32" ht="67.5" x14ac:dyDescent="0.2">
      <c r="A57" s="38" t="s">
        <v>445</v>
      </c>
      <c r="B57" s="56" t="s">
        <v>453</v>
      </c>
      <c r="C57" s="56">
        <v>55</v>
      </c>
      <c r="D57" s="56" t="s">
        <v>714</v>
      </c>
      <c r="E57" s="99" t="s">
        <v>751</v>
      </c>
      <c r="F57" s="99" t="s">
        <v>772</v>
      </c>
      <c r="G57" s="103" t="s">
        <v>468</v>
      </c>
      <c r="H57" s="86"/>
      <c r="I57" s="86"/>
      <c r="J57" s="86"/>
      <c r="K57" s="86"/>
      <c r="L57" s="86"/>
      <c r="M57" s="86"/>
      <c r="N57" s="86"/>
      <c r="O57" s="86"/>
      <c r="P57" s="38">
        <f>SUM(Q57:W57)</f>
        <v>0</v>
      </c>
      <c r="R57" s="38"/>
      <c r="S57" s="38"/>
      <c r="T57" s="38"/>
      <c r="U57" s="38"/>
      <c r="V57" s="38"/>
      <c r="W57" s="38"/>
      <c r="X57" s="38">
        <f>SUM(Y57:AE57)</f>
        <v>0</v>
      </c>
      <c r="Z57" s="38"/>
      <c r="AA57" s="38"/>
      <c r="AB57" s="38"/>
      <c r="AC57" s="38"/>
      <c r="AD57" s="38"/>
      <c r="AE57" s="38"/>
      <c r="AF57" s="38"/>
    </row>
    <row r="58" spans="1:32" ht="22.5" x14ac:dyDescent="0.2">
      <c r="A58" s="38" t="s">
        <v>763</v>
      </c>
      <c r="B58" s="56" t="s">
        <v>469</v>
      </c>
      <c r="C58" s="56">
        <v>55</v>
      </c>
      <c r="D58" s="56" t="s">
        <v>470</v>
      </c>
      <c r="E58" s="70" t="s">
        <v>471</v>
      </c>
      <c r="F58" s="99" t="s">
        <v>772</v>
      </c>
      <c r="G58" s="103" t="s">
        <v>494</v>
      </c>
      <c r="H58" s="83"/>
      <c r="I58" s="83"/>
      <c r="J58" s="86"/>
      <c r="K58" s="86"/>
      <c r="L58" s="83"/>
      <c r="M58" s="83"/>
      <c r="N58" s="86"/>
      <c r="O58" s="86"/>
      <c r="P58" s="38">
        <f t="shared" ref="P58:P65" si="8">SUM(Q58:W58)</f>
        <v>880</v>
      </c>
      <c r="Q58" s="42">
        <f>1060-180</f>
        <v>880</v>
      </c>
      <c r="R58" s="38"/>
      <c r="S58" s="38"/>
      <c r="T58" s="38"/>
      <c r="U58" s="38"/>
      <c r="V58" s="38"/>
      <c r="W58" s="38"/>
      <c r="X58" s="38">
        <f t="shared" ref="X58:X65" si="9">SUM(Y58:AE58)</f>
        <v>1163.7</v>
      </c>
      <c r="Y58" s="42">
        <f>1343.7-180</f>
        <v>1163.7</v>
      </c>
      <c r="Z58" s="38"/>
      <c r="AA58" s="38"/>
      <c r="AB58" s="38"/>
      <c r="AC58" s="38"/>
      <c r="AD58" s="38"/>
      <c r="AE58" s="38"/>
      <c r="AF58" s="38"/>
    </row>
    <row r="59" spans="1:32" ht="22.5" x14ac:dyDescent="0.2">
      <c r="A59" s="38" t="s">
        <v>764</v>
      </c>
      <c r="B59" s="38" t="s">
        <v>438</v>
      </c>
      <c r="C59" s="38">
        <v>57</v>
      </c>
      <c r="D59" s="56" t="s">
        <v>472</v>
      </c>
      <c r="E59" s="71">
        <v>1</v>
      </c>
      <c r="F59" s="99" t="s">
        <v>772</v>
      </c>
      <c r="G59" s="103" t="s">
        <v>489</v>
      </c>
      <c r="H59" s="86"/>
      <c r="I59" s="86"/>
      <c r="J59" s="86"/>
      <c r="K59" s="86"/>
      <c r="L59" s="86"/>
      <c r="M59" s="86"/>
      <c r="N59" s="86"/>
      <c r="O59" s="86"/>
      <c r="P59" s="38">
        <f t="shared" si="8"/>
        <v>173</v>
      </c>
      <c r="Q59" s="42">
        <v>173</v>
      </c>
      <c r="R59" s="38"/>
      <c r="S59" s="38"/>
      <c r="T59" s="38"/>
      <c r="U59" s="38"/>
      <c r="V59" s="38"/>
      <c r="W59" s="38"/>
      <c r="X59" s="38">
        <f t="shared" si="9"/>
        <v>193</v>
      </c>
      <c r="Y59" s="42">
        <v>193</v>
      </c>
      <c r="Z59" s="38"/>
      <c r="AA59" s="38"/>
      <c r="AB59" s="38"/>
      <c r="AC59" s="38"/>
      <c r="AD59" s="38"/>
      <c r="AE59" s="38"/>
      <c r="AF59" s="38"/>
    </row>
    <row r="60" spans="1:32" x14ac:dyDescent="0.2">
      <c r="A60" s="38" t="s">
        <v>765</v>
      </c>
      <c r="B60" s="38" t="s">
        <v>440</v>
      </c>
      <c r="C60" s="38">
        <v>56</v>
      </c>
      <c r="D60" s="38"/>
      <c r="E60" s="56"/>
      <c r="F60" s="99" t="s">
        <v>772</v>
      </c>
      <c r="G60" s="103" t="s">
        <v>488</v>
      </c>
      <c r="H60" s="86"/>
      <c r="I60" s="86"/>
      <c r="J60" s="86"/>
      <c r="K60" s="86"/>
      <c r="L60" s="86"/>
      <c r="M60" s="86"/>
      <c r="N60" s="86"/>
      <c r="O60" s="86"/>
      <c r="P60" s="38">
        <f t="shared" si="8"/>
        <v>823.5</v>
      </c>
      <c r="Q60" s="42">
        <v>200</v>
      </c>
      <c r="R60" s="97"/>
      <c r="S60" s="38"/>
      <c r="T60" s="97"/>
      <c r="U60" s="38"/>
      <c r="V60" s="38"/>
      <c r="W60" s="38">
        <v>623.5</v>
      </c>
      <c r="X60" s="38">
        <f t="shared" si="9"/>
        <v>1145.5</v>
      </c>
      <c r="Y60" s="42">
        <v>522</v>
      </c>
      <c r="Z60" s="38"/>
      <c r="AA60" s="38"/>
      <c r="AB60" s="38"/>
      <c r="AC60" s="38"/>
      <c r="AD60" s="38"/>
      <c r="AE60" s="38">
        <v>623.5</v>
      </c>
      <c r="AF60" s="38"/>
    </row>
    <row r="61" spans="1:32" x14ac:dyDescent="0.2">
      <c r="A61" s="38" t="s">
        <v>766</v>
      </c>
      <c r="B61" s="38" t="s">
        <v>547</v>
      </c>
      <c r="C61" s="38">
        <v>58</v>
      </c>
      <c r="D61" s="38"/>
      <c r="E61" s="56"/>
      <c r="F61" s="99" t="s">
        <v>772</v>
      </c>
      <c r="G61" s="103"/>
      <c r="H61" s="86"/>
      <c r="I61" s="86"/>
      <c r="J61" s="86"/>
      <c r="K61" s="86"/>
      <c r="L61" s="86"/>
      <c r="M61" s="86"/>
      <c r="N61" s="86"/>
      <c r="O61" s="86"/>
      <c r="P61" s="38">
        <f t="shared" si="8"/>
        <v>1331</v>
      </c>
      <c r="Q61" s="42">
        <v>1331</v>
      </c>
      <c r="R61" s="97"/>
      <c r="S61" s="38"/>
      <c r="T61" s="97"/>
      <c r="U61" s="38"/>
      <c r="V61" s="38"/>
      <c r="W61" s="38"/>
      <c r="X61" s="38">
        <f t="shared" si="9"/>
        <v>1205.3</v>
      </c>
      <c r="Y61" s="42">
        <f>1980.6-Y64</f>
        <v>1205.3</v>
      </c>
      <c r="Z61" s="38"/>
      <c r="AA61" s="38"/>
      <c r="AB61" s="38"/>
      <c r="AC61" s="38"/>
      <c r="AD61" s="38"/>
      <c r="AE61" s="38"/>
      <c r="AF61" s="38"/>
    </row>
    <row r="62" spans="1:32" x14ac:dyDescent="0.2">
      <c r="A62" s="38" t="s">
        <v>767</v>
      </c>
      <c r="B62" s="38" t="s">
        <v>439</v>
      </c>
      <c r="C62" s="38">
        <v>58</v>
      </c>
      <c r="D62" s="38"/>
      <c r="E62" s="56"/>
      <c r="F62" s="99" t="s">
        <v>772</v>
      </c>
      <c r="G62" s="103" t="s">
        <v>488</v>
      </c>
      <c r="H62" s="86"/>
      <c r="I62" s="86"/>
      <c r="J62" s="86"/>
      <c r="K62" s="86"/>
      <c r="L62" s="86"/>
      <c r="M62" s="86"/>
      <c r="N62" s="86"/>
      <c r="O62" s="86"/>
      <c r="P62" s="38">
        <f t="shared" si="8"/>
        <v>100</v>
      </c>
      <c r="R62" s="97"/>
      <c r="S62" s="38"/>
      <c r="T62" s="97"/>
      <c r="U62" s="38"/>
      <c r="V62" s="38"/>
      <c r="W62" s="38">
        <v>100</v>
      </c>
      <c r="X62" s="38">
        <f t="shared" si="9"/>
        <v>100</v>
      </c>
      <c r="Z62" s="38"/>
      <c r="AA62" s="38"/>
      <c r="AB62" s="38"/>
      <c r="AC62" s="38"/>
      <c r="AD62" s="38"/>
      <c r="AE62" s="38">
        <v>100</v>
      </c>
      <c r="AF62" s="38"/>
    </row>
    <row r="63" spans="1:32" x14ac:dyDescent="0.2">
      <c r="A63" s="38" t="s">
        <v>768</v>
      </c>
      <c r="B63" s="38" t="s">
        <v>527</v>
      </c>
      <c r="C63" s="38"/>
      <c r="D63" s="56"/>
      <c r="E63" s="69"/>
      <c r="F63" s="69"/>
      <c r="G63" s="103"/>
      <c r="H63" s="73"/>
      <c r="I63" s="73"/>
      <c r="J63" s="73"/>
      <c r="K63" s="73"/>
      <c r="L63" s="73"/>
      <c r="M63" s="73"/>
      <c r="N63" s="73"/>
      <c r="O63" s="73"/>
      <c r="P63" s="38">
        <f t="shared" si="8"/>
        <v>1818</v>
      </c>
      <c r="Q63" s="38">
        <v>1818</v>
      </c>
      <c r="S63" s="38"/>
      <c r="U63" s="38"/>
      <c r="V63" s="38"/>
      <c r="W63" s="38"/>
      <c r="X63" s="38">
        <f t="shared" si="9"/>
        <v>1818</v>
      </c>
      <c r="Y63" s="38">
        <v>1818</v>
      </c>
      <c r="Z63" s="38"/>
      <c r="AA63" s="38"/>
      <c r="AB63" s="38"/>
      <c r="AC63" s="38"/>
      <c r="AD63" s="38"/>
      <c r="AE63" s="38"/>
      <c r="AF63" s="38"/>
    </row>
    <row r="64" spans="1:32" x14ac:dyDescent="0.2">
      <c r="A64" s="38" t="s">
        <v>769</v>
      </c>
      <c r="B64" s="38" t="s">
        <v>528</v>
      </c>
      <c r="C64" s="38"/>
      <c r="D64" s="56"/>
      <c r="E64" s="69"/>
      <c r="F64" s="69"/>
      <c r="G64" s="103"/>
      <c r="H64" s="73"/>
      <c r="I64" s="73"/>
      <c r="J64" s="73"/>
      <c r="K64" s="73"/>
      <c r="L64" s="73"/>
      <c r="M64" s="73"/>
      <c r="N64" s="73"/>
      <c r="O64" s="73"/>
      <c r="P64" s="38">
        <f t="shared" si="8"/>
        <v>775.3</v>
      </c>
      <c r="Q64" s="38">
        <f>585.3+190</f>
        <v>775.3</v>
      </c>
      <c r="S64" s="38"/>
      <c r="U64" s="38"/>
      <c r="V64" s="38"/>
      <c r="W64" s="38"/>
      <c r="X64" s="38">
        <f t="shared" si="9"/>
        <v>775.3</v>
      </c>
      <c r="Y64" s="38">
        <v>775.3</v>
      </c>
      <c r="Z64" s="38"/>
      <c r="AA64" s="38"/>
      <c r="AB64" s="38"/>
      <c r="AC64" s="38"/>
      <c r="AD64" s="38"/>
      <c r="AE64" s="38"/>
      <c r="AF64" s="38"/>
    </row>
    <row r="65" spans="1:32" x14ac:dyDescent="0.2">
      <c r="A65" s="38" t="s">
        <v>770</v>
      </c>
      <c r="B65" s="38" t="s">
        <v>529</v>
      </c>
      <c r="C65" s="38"/>
      <c r="D65" s="56"/>
      <c r="E65" s="69"/>
      <c r="F65" s="69"/>
      <c r="G65" s="85"/>
      <c r="H65" s="73"/>
      <c r="I65" s="73"/>
      <c r="J65" s="73"/>
      <c r="K65" s="73"/>
      <c r="L65" s="73"/>
      <c r="M65" s="73"/>
      <c r="N65" s="73"/>
      <c r="O65" s="73"/>
      <c r="P65" s="38">
        <f t="shared" si="8"/>
        <v>1677</v>
      </c>
      <c r="Q65" s="38">
        <f>1262+50+165+200</f>
        <v>1677</v>
      </c>
      <c r="R65" s="38"/>
      <c r="S65" s="38"/>
      <c r="T65" s="38"/>
      <c r="U65" s="38"/>
      <c r="V65" s="38"/>
      <c r="W65" s="38"/>
      <c r="X65" s="38">
        <f t="shared" si="9"/>
        <v>1677</v>
      </c>
      <c r="Y65" s="38">
        <f>Q65</f>
        <v>1677</v>
      </c>
      <c r="Z65" s="38"/>
      <c r="AA65" s="38"/>
      <c r="AB65" s="38"/>
      <c r="AC65" s="38"/>
      <c r="AD65" s="38"/>
      <c r="AE65" s="38"/>
      <c r="AF65" s="38"/>
    </row>
    <row r="66" spans="1:32" x14ac:dyDescent="0.2">
      <c r="G66" s="88"/>
      <c r="O66" s="89" t="s">
        <v>52</v>
      </c>
      <c r="P66" s="90">
        <f t="shared" ref="P66:AE66" si="10">SUM(P57:P65)</f>
        <v>7577.8</v>
      </c>
      <c r="Q66" s="90">
        <f t="shared" si="10"/>
        <v>6854.3</v>
      </c>
      <c r="R66" s="90">
        <f t="shared" si="10"/>
        <v>0</v>
      </c>
      <c r="S66" s="90">
        <f t="shared" si="10"/>
        <v>0</v>
      </c>
      <c r="T66" s="90">
        <f t="shared" si="10"/>
        <v>0</v>
      </c>
      <c r="U66" s="90">
        <f t="shared" si="10"/>
        <v>0</v>
      </c>
      <c r="V66" s="90">
        <f t="shared" si="10"/>
        <v>0</v>
      </c>
      <c r="W66" s="90">
        <f t="shared" si="10"/>
        <v>723.5</v>
      </c>
      <c r="X66" s="90">
        <f t="shared" si="10"/>
        <v>8077.8</v>
      </c>
      <c r="Y66" s="90">
        <f t="shared" si="10"/>
        <v>7354.3</v>
      </c>
      <c r="Z66" s="90">
        <f t="shared" si="10"/>
        <v>0</v>
      </c>
      <c r="AA66" s="90">
        <f t="shared" si="10"/>
        <v>0</v>
      </c>
      <c r="AB66" s="90">
        <f t="shared" si="10"/>
        <v>0</v>
      </c>
      <c r="AC66" s="90">
        <f t="shared" si="10"/>
        <v>0</v>
      </c>
      <c r="AD66" s="90">
        <f t="shared" si="10"/>
        <v>0</v>
      </c>
      <c r="AE66" s="90">
        <f t="shared" si="10"/>
        <v>723.5</v>
      </c>
    </row>
    <row r="68" spans="1:32" x14ac:dyDescent="0.2">
      <c r="A68" s="42">
        <v>6.4</v>
      </c>
      <c r="B68" s="67" t="s">
        <v>443</v>
      </c>
      <c r="C68" s="67"/>
      <c r="Q68" s="100"/>
    </row>
    <row r="69" spans="1:32" x14ac:dyDescent="0.2">
      <c r="A69" s="42">
        <v>60</v>
      </c>
      <c r="B69" s="40" t="s">
        <v>446</v>
      </c>
      <c r="C69" s="40"/>
      <c r="Q69" s="42">
        <v>1915.9</v>
      </c>
    </row>
    <row r="70" spans="1:32" x14ac:dyDescent="0.2">
      <c r="A70" s="42">
        <v>61</v>
      </c>
      <c r="B70" s="40" t="s">
        <v>447</v>
      </c>
      <c r="C70" s="40"/>
      <c r="Q70" s="42">
        <v>585.29999999999995</v>
      </c>
      <c r="R70" s="42">
        <f>Q69-Q70</f>
        <v>1330.6000000000001</v>
      </c>
    </row>
    <row r="71" spans="1:32" x14ac:dyDescent="0.2">
      <c r="A71" s="42">
        <v>62</v>
      </c>
      <c r="B71" s="40" t="s">
        <v>448</v>
      </c>
      <c r="C71" s="40"/>
      <c r="Q71" s="101">
        <f>Q63+Q70</f>
        <v>2403.3000000000002</v>
      </c>
    </row>
    <row r="72" spans="1:32" x14ac:dyDescent="0.2">
      <c r="A72" s="42">
        <v>63</v>
      </c>
      <c r="B72" s="40" t="s">
        <v>449</v>
      </c>
      <c r="C72" s="40"/>
    </row>
    <row r="73" spans="1:32" x14ac:dyDescent="0.2">
      <c r="A73" s="42">
        <v>64</v>
      </c>
      <c r="B73" s="40" t="s">
        <v>450</v>
      </c>
      <c r="C73" s="40"/>
    </row>
    <row r="74" spans="1:32" x14ac:dyDescent="0.2">
      <c r="A74" s="42">
        <v>65</v>
      </c>
      <c r="B74" s="40" t="s">
        <v>451</v>
      </c>
      <c r="C74" s="40"/>
    </row>
    <row r="75" spans="1:32" x14ac:dyDescent="0.2">
      <c r="H75" s="122" t="s">
        <v>58</v>
      </c>
      <c r="I75" s="122"/>
      <c r="J75" s="122"/>
      <c r="K75" s="122"/>
      <c r="L75" s="122"/>
      <c r="M75" s="122"/>
      <c r="N75" s="122"/>
      <c r="O75" s="122"/>
      <c r="P75" s="123" t="s">
        <v>61</v>
      </c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</row>
    <row r="76" spans="1:32" x14ac:dyDescent="0.2">
      <c r="H76" s="124">
        <v>2019</v>
      </c>
      <c r="I76" s="124"/>
      <c r="J76" s="124"/>
      <c r="K76" s="124"/>
      <c r="L76" s="124">
        <v>2020</v>
      </c>
      <c r="M76" s="124"/>
      <c r="N76" s="124"/>
      <c r="O76" s="124"/>
      <c r="P76" s="124">
        <v>2019</v>
      </c>
      <c r="Q76" s="124"/>
      <c r="R76" s="124"/>
      <c r="S76" s="124"/>
      <c r="T76" s="124"/>
      <c r="U76" s="124"/>
      <c r="V76" s="124"/>
      <c r="W76" s="124"/>
      <c r="X76" s="125">
        <v>2020</v>
      </c>
      <c r="Y76" s="126"/>
      <c r="Z76" s="126"/>
      <c r="AA76" s="126"/>
      <c r="AB76" s="126"/>
      <c r="AC76" s="126"/>
      <c r="AD76" s="126"/>
      <c r="AE76" s="127"/>
    </row>
    <row r="77" spans="1:32" x14ac:dyDescent="0.2">
      <c r="A77" s="38"/>
      <c r="B77" s="68" t="s">
        <v>42</v>
      </c>
      <c r="C77" s="48" t="s">
        <v>761</v>
      </c>
      <c r="D77" s="68" t="s">
        <v>47</v>
      </c>
      <c r="E77" s="68" t="s">
        <v>48</v>
      </c>
      <c r="F77" s="68" t="s">
        <v>771</v>
      </c>
      <c r="G77" s="80" t="s">
        <v>43</v>
      </c>
      <c r="H77" s="43" t="s">
        <v>25</v>
      </c>
      <c r="I77" s="43" t="s">
        <v>28</v>
      </c>
      <c r="J77" s="43" t="s">
        <v>27</v>
      </c>
      <c r="K77" s="43" t="s">
        <v>26</v>
      </c>
      <c r="L77" s="43" t="s">
        <v>25</v>
      </c>
      <c r="M77" s="43" t="s">
        <v>28</v>
      </c>
      <c r="N77" s="43" t="s">
        <v>27</v>
      </c>
      <c r="O77" s="43" t="s">
        <v>26</v>
      </c>
      <c r="P77" s="68" t="s">
        <v>52</v>
      </c>
      <c r="Q77" s="38" t="s">
        <v>60</v>
      </c>
      <c r="R77" s="38" t="s">
        <v>62</v>
      </c>
      <c r="S77" s="38" t="s">
        <v>59</v>
      </c>
      <c r="T77" s="38" t="s">
        <v>63</v>
      </c>
      <c r="U77" s="38" t="s">
        <v>49</v>
      </c>
      <c r="V77" s="38" t="s">
        <v>50</v>
      </c>
      <c r="W77" s="38" t="s">
        <v>51</v>
      </c>
      <c r="X77" s="68" t="s">
        <v>52</v>
      </c>
      <c r="Y77" s="38" t="s">
        <v>60</v>
      </c>
      <c r="Z77" s="38" t="s">
        <v>62</v>
      </c>
      <c r="AA77" s="38" t="s">
        <v>59</v>
      </c>
      <c r="AB77" s="38" t="s">
        <v>63</v>
      </c>
      <c r="AC77" s="38" t="s">
        <v>49</v>
      </c>
      <c r="AD77" s="38" t="s">
        <v>50</v>
      </c>
      <c r="AE77" s="38" t="s">
        <v>51</v>
      </c>
      <c r="AF77" s="38" t="s">
        <v>53</v>
      </c>
    </row>
    <row r="78" spans="1:32" x14ac:dyDescent="0.2">
      <c r="A78" s="38" t="s">
        <v>452</v>
      </c>
      <c r="B78" s="38" t="s">
        <v>442</v>
      </c>
      <c r="C78" s="38">
        <v>60</v>
      </c>
      <c r="D78" s="56"/>
      <c r="E78" s="70"/>
      <c r="F78" s="70" t="s">
        <v>772</v>
      </c>
      <c r="G78" s="43" t="s">
        <v>485</v>
      </c>
      <c r="H78" s="86"/>
      <c r="I78" s="86"/>
      <c r="J78" s="83"/>
      <c r="K78" s="83"/>
      <c r="L78" s="83"/>
      <c r="M78" s="83"/>
      <c r="N78" s="83"/>
      <c r="O78" s="83"/>
      <c r="P78" s="38">
        <f>SUM(Q78:W78)</f>
        <v>50</v>
      </c>
      <c r="Q78" s="38">
        <v>50</v>
      </c>
      <c r="R78" s="38"/>
      <c r="S78" s="38"/>
      <c r="T78" s="38"/>
      <c r="U78" s="38"/>
      <c r="V78" s="38"/>
      <c r="W78" s="38"/>
      <c r="X78" s="38">
        <f>SUM(Y78:AE78)</f>
        <v>0</v>
      </c>
      <c r="Y78" s="38"/>
      <c r="Z78" s="38"/>
      <c r="AA78" s="38"/>
      <c r="AB78" s="38"/>
      <c r="AC78" s="38"/>
      <c r="AD78" s="38"/>
      <c r="AE78" s="38"/>
      <c r="AF78" s="38"/>
    </row>
    <row r="79" spans="1:32" x14ac:dyDescent="0.2">
      <c r="A79" s="38" t="s">
        <v>727</v>
      </c>
      <c r="B79" s="38" t="s">
        <v>454</v>
      </c>
      <c r="C79" s="38">
        <v>61</v>
      </c>
      <c r="D79" s="38"/>
      <c r="E79" s="56"/>
      <c r="F79" s="70" t="s">
        <v>772</v>
      </c>
      <c r="G79" s="43" t="s">
        <v>498</v>
      </c>
      <c r="H79" s="83"/>
      <c r="I79" s="83"/>
      <c r="J79" s="83"/>
      <c r="K79" s="83"/>
      <c r="L79" s="86"/>
      <c r="M79" s="86"/>
      <c r="N79" s="86"/>
      <c r="O79" s="86"/>
      <c r="P79" s="38">
        <f t="shared" ref="P79:P93" si="11">SUM(Q79:W79)</f>
        <v>0</v>
      </c>
      <c r="Q79" s="38"/>
      <c r="R79" s="38"/>
      <c r="S79" s="38"/>
      <c r="T79" s="38"/>
      <c r="U79" s="38"/>
      <c r="V79" s="38"/>
      <c r="W79" s="38"/>
      <c r="X79" s="38">
        <f t="shared" ref="X79:X93" si="12">SUM(Y79:AE79)</f>
        <v>0</v>
      </c>
      <c r="Y79" s="38"/>
      <c r="Z79" s="38"/>
      <c r="AA79" s="38"/>
      <c r="AB79" s="38"/>
      <c r="AC79" s="38"/>
      <c r="AD79" s="38"/>
      <c r="AE79" s="38"/>
      <c r="AF79" s="38"/>
    </row>
    <row r="80" spans="1:32" x14ac:dyDescent="0.2">
      <c r="A80" s="38" t="s">
        <v>728</v>
      </c>
      <c r="B80" s="38" t="s">
        <v>463</v>
      </c>
      <c r="C80" s="38">
        <v>61</v>
      </c>
      <c r="D80" s="38"/>
      <c r="E80" s="56"/>
      <c r="F80" s="70" t="s">
        <v>652</v>
      </c>
      <c r="G80" s="43" t="s">
        <v>499</v>
      </c>
      <c r="H80" s="86"/>
      <c r="I80" s="86"/>
      <c r="J80" s="86"/>
      <c r="K80" s="86"/>
      <c r="L80" s="83"/>
      <c r="M80" s="83"/>
      <c r="N80" s="83"/>
      <c r="O80" s="83"/>
      <c r="P80" s="38">
        <f t="shared" si="11"/>
        <v>2461</v>
      </c>
      <c r="Q80" s="38">
        <v>2461</v>
      </c>
      <c r="R80" s="38"/>
      <c r="S80" s="38"/>
      <c r="T80" s="38"/>
      <c r="U80" s="38"/>
      <c r="V80" s="38"/>
      <c r="W80" s="38"/>
      <c r="X80" s="38">
        <f t="shared" si="12"/>
        <v>2888.3</v>
      </c>
      <c r="Y80" s="38">
        <f>Q80+427.3</f>
        <v>2888.3</v>
      </c>
      <c r="Z80" s="38"/>
      <c r="AA80" s="38"/>
      <c r="AB80" s="38"/>
      <c r="AC80" s="38"/>
      <c r="AD80" s="38"/>
      <c r="AE80" s="38"/>
      <c r="AF80" s="38"/>
    </row>
    <row r="81" spans="1:32" ht="56.25" x14ac:dyDescent="0.2">
      <c r="A81" s="38" t="s">
        <v>729</v>
      </c>
      <c r="B81" s="38" t="s">
        <v>484</v>
      </c>
      <c r="C81" s="38">
        <v>59</v>
      </c>
      <c r="D81" s="56" t="s">
        <v>487</v>
      </c>
      <c r="E81" s="56" t="s">
        <v>752</v>
      </c>
      <c r="F81" s="70" t="s">
        <v>772</v>
      </c>
      <c r="G81" s="43" t="s">
        <v>548</v>
      </c>
      <c r="H81" s="86"/>
      <c r="I81" s="86"/>
      <c r="J81" s="86"/>
      <c r="K81" s="86"/>
      <c r="L81" s="86"/>
      <c r="M81" s="86"/>
      <c r="N81" s="86"/>
      <c r="O81" s="86"/>
      <c r="P81" s="38">
        <f t="shared" si="11"/>
        <v>1699.8</v>
      </c>
      <c r="Q81" s="38">
        <v>1285</v>
      </c>
      <c r="R81" s="38"/>
      <c r="S81" s="38"/>
      <c r="T81" s="38"/>
      <c r="U81" s="38"/>
      <c r="V81" s="38"/>
      <c r="W81" s="38">
        <v>414.8</v>
      </c>
      <c r="X81" s="38">
        <f t="shared" si="12"/>
        <v>1761.8</v>
      </c>
      <c r="Y81" s="38">
        <v>1347</v>
      </c>
      <c r="Z81" s="38"/>
      <c r="AA81" s="38"/>
      <c r="AB81" s="38"/>
      <c r="AC81" s="38"/>
      <c r="AD81" s="38"/>
      <c r="AE81" s="38">
        <v>414.8</v>
      </c>
      <c r="AF81" s="38"/>
    </row>
    <row r="82" spans="1:32" ht="33.75" x14ac:dyDescent="0.2">
      <c r="A82" s="38" t="s">
        <v>730</v>
      </c>
      <c r="B82" s="38" t="s">
        <v>455</v>
      </c>
      <c r="C82" s="38">
        <v>59</v>
      </c>
      <c r="D82" s="56" t="s">
        <v>495</v>
      </c>
      <c r="E82" s="71">
        <v>1</v>
      </c>
      <c r="F82" s="71" t="s">
        <v>652</v>
      </c>
      <c r="G82" s="85" t="s">
        <v>496</v>
      </c>
      <c r="H82" s="86"/>
      <c r="I82" s="86"/>
      <c r="J82" s="86"/>
      <c r="K82" s="86"/>
      <c r="L82" s="86"/>
      <c r="M82" s="86"/>
      <c r="N82" s="86"/>
      <c r="O82" s="86"/>
      <c r="P82" s="38">
        <f t="shared" si="11"/>
        <v>1201847.8</v>
      </c>
      <c r="Q82" s="38">
        <f>7370.3+22429.2+10475.6+3139.7-6511</f>
        <v>36903.799999999996</v>
      </c>
      <c r="R82" s="38"/>
      <c r="S82" s="38">
        <v>1164244</v>
      </c>
      <c r="T82" s="38"/>
      <c r="U82" s="38"/>
      <c r="V82" s="38">
        <v>700</v>
      </c>
      <c r="W82" s="38"/>
      <c r="X82" s="38">
        <f t="shared" si="12"/>
        <v>1273216.6680000001</v>
      </c>
      <c r="Y82" s="38">
        <f t="shared" ref="Y82" si="13">Q82*1.06</f>
        <v>39118.027999999998</v>
      </c>
      <c r="Z82" s="38"/>
      <c r="AA82" s="38">
        <f>S82*1.06</f>
        <v>1234098.6400000001</v>
      </c>
      <c r="AB82" s="38"/>
      <c r="AC82" s="38"/>
      <c r="AD82" s="38"/>
      <c r="AE82" s="38"/>
      <c r="AF82" s="38"/>
    </row>
    <row r="83" spans="1:32" ht="22.5" x14ac:dyDescent="0.2">
      <c r="A83" s="38" t="s">
        <v>731</v>
      </c>
      <c r="B83" s="38" t="s">
        <v>456</v>
      </c>
      <c r="C83" s="38">
        <v>61</v>
      </c>
      <c r="D83" s="38"/>
      <c r="E83" s="56"/>
      <c r="F83" s="56" t="s">
        <v>652</v>
      </c>
      <c r="G83" s="85" t="s">
        <v>496</v>
      </c>
      <c r="H83" s="83"/>
      <c r="I83" s="83"/>
      <c r="J83" s="86"/>
      <c r="K83" s="86"/>
      <c r="L83" s="83"/>
      <c r="M83" s="83"/>
      <c r="N83" s="86"/>
      <c r="O83" s="86"/>
      <c r="P83" s="38">
        <f t="shared" si="11"/>
        <v>35021.1</v>
      </c>
      <c r="Q83" s="38">
        <f>5598+654+259.1</f>
        <v>6511.1</v>
      </c>
      <c r="R83" s="38"/>
      <c r="S83" s="38">
        <v>28510</v>
      </c>
      <c r="T83" s="38"/>
      <c r="U83" s="38"/>
      <c r="V83" s="38"/>
      <c r="W83" s="38"/>
      <c r="X83" s="38">
        <f t="shared" si="12"/>
        <v>37694.6</v>
      </c>
      <c r="Y83" s="38">
        <v>6511</v>
      </c>
      <c r="Z83" s="38"/>
      <c r="AA83" s="38">
        <v>31183.599999999999</v>
      </c>
      <c r="AB83" s="38"/>
      <c r="AC83" s="38"/>
      <c r="AD83" s="38"/>
      <c r="AE83" s="38"/>
      <c r="AF83" s="38"/>
    </row>
    <row r="84" spans="1:32" ht="33.75" x14ac:dyDescent="0.2">
      <c r="A84" s="38" t="s">
        <v>732</v>
      </c>
      <c r="B84" s="38" t="s">
        <v>462</v>
      </c>
      <c r="C84" s="38">
        <v>62</v>
      </c>
      <c r="D84" s="56" t="s">
        <v>497</v>
      </c>
      <c r="E84" s="71">
        <v>0.4</v>
      </c>
      <c r="F84" s="71" t="s">
        <v>772</v>
      </c>
      <c r="G84" s="43" t="s">
        <v>485</v>
      </c>
      <c r="H84" s="86"/>
      <c r="I84" s="86"/>
      <c r="J84" s="86"/>
      <c r="K84" s="86"/>
      <c r="L84" s="86"/>
      <c r="M84" s="86"/>
      <c r="N84" s="86"/>
      <c r="O84" s="86"/>
      <c r="P84" s="38">
        <f t="shared" si="11"/>
        <v>40</v>
      </c>
      <c r="Q84" s="38">
        <v>40</v>
      </c>
      <c r="R84" s="38"/>
      <c r="S84" s="38"/>
      <c r="T84" s="38"/>
      <c r="U84" s="38"/>
      <c r="V84" s="38"/>
      <c r="W84" s="38"/>
      <c r="X84" s="38">
        <f t="shared" si="12"/>
        <v>40</v>
      </c>
      <c r="Y84" s="38">
        <v>40</v>
      </c>
      <c r="Z84" s="38"/>
      <c r="AA84" s="38"/>
      <c r="AB84" s="38"/>
      <c r="AC84" s="38"/>
      <c r="AD84" s="38"/>
      <c r="AE84" s="38"/>
      <c r="AF84" s="38"/>
    </row>
    <row r="85" spans="1:32" x14ac:dyDescent="0.2">
      <c r="A85" s="38" t="s">
        <v>733</v>
      </c>
      <c r="B85" s="38" t="s">
        <v>457</v>
      </c>
      <c r="C85" s="38">
        <v>62</v>
      </c>
      <c r="D85" s="38"/>
      <c r="E85" s="56"/>
      <c r="F85" s="56" t="s">
        <v>772</v>
      </c>
      <c r="G85" s="43" t="s">
        <v>485</v>
      </c>
      <c r="H85" s="86"/>
      <c r="I85" s="86"/>
      <c r="J85" s="86"/>
      <c r="K85" s="86"/>
      <c r="L85" s="86"/>
      <c r="M85" s="86"/>
      <c r="N85" s="86"/>
      <c r="O85" s="86"/>
      <c r="P85" s="38">
        <f t="shared" si="11"/>
        <v>507.3</v>
      </c>
      <c r="Q85" s="38">
        <f>145.1-23.9</f>
        <v>121.19999999999999</v>
      </c>
      <c r="R85" s="38"/>
      <c r="S85" s="38"/>
      <c r="T85" s="38"/>
      <c r="U85" s="38"/>
      <c r="V85" s="38"/>
      <c r="W85" s="38">
        <v>386.1</v>
      </c>
      <c r="X85" s="38">
        <f t="shared" si="12"/>
        <v>635.1</v>
      </c>
      <c r="Y85" s="38">
        <f>272.9-23.9</f>
        <v>248.99999999999997</v>
      </c>
      <c r="Z85" s="38"/>
      <c r="AA85" s="38"/>
      <c r="AB85" s="38"/>
      <c r="AC85" s="38"/>
      <c r="AD85" s="38"/>
      <c r="AE85" s="38">
        <v>386.1</v>
      </c>
      <c r="AF85" s="38"/>
    </row>
    <row r="86" spans="1:32" x14ac:dyDescent="0.2">
      <c r="A86" s="38" t="s">
        <v>734</v>
      </c>
      <c r="B86" s="38" t="s">
        <v>458</v>
      </c>
      <c r="C86" s="38">
        <v>62</v>
      </c>
      <c r="D86" s="38"/>
      <c r="E86" s="56"/>
      <c r="F86" s="56" t="s">
        <v>772</v>
      </c>
      <c r="G86" s="43" t="s">
        <v>485</v>
      </c>
      <c r="H86" s="83"/>
      <c r="I86" s="83"/>
      <c r="J86" s="83"/>
      <c r="K86" s="83"/>
      <c r="L86" s="86"/>
      <c r="M86" s="86"/>
      <c r="N86" s="83"/>
      <c r="O86" s="83"/>
      <c r="P86" s="38">
        <f t="shared" si="11"/>
        <v>30</v>
      </c>
      <c r="Q86" s="38">
        <v>30</v>
      </c>
      <c r="R86" s="38"/>
      <c r="S86" s="38"/>
      <c r="T86" s="38"/>
      <c r="U86" s="38"/>
      <c r="V86" s="38"/>
      <c r="W86" s="38"/>
      <c r="X86" s="38">
        <f t="shared" si="12"/>
        <v>30</v>
      </c>
      <c r="Y86" s="38">
        <v>30</v>
      </c>
      <c r="Z86" s="38"/>
      <c r="AA86" s="38"/>
      <c r="AB86" s="38"/>
      <c r="AC86" s="38"/>
      <c r="AD86" s="38"/>
      <c r="AE86" s="38"/>
      <c r="AF86" s="38" t="s">
        <v>436</v>
      </c>
    </row>
    <row r="87" spans="1:32" ht="22.5" x14ac:dyDescent="0.2">
      <c r="A87" s="38" t="s">
        <v>736</v>
      </c>
      <c r="B87" s="56" t="s">
        <v>460</v>
      </c>
      <c r="C87" s="56">
        <v>64</v>
      </c>
      <c r="D87" s="38"/>
      <c r="E87" s="56"/>
      <c r="F87" s="56" t="s">
        <v>772</v>
      </c>
      <c r="G87" s="43"/>
      <c r="H87" s="86"/>
      <c r="I87" s="86"/>
      <c r="J87" s="86"/>
      <c r="K87" s="86"/>
      <c r="L87" s="86"/>
      <c r="M87" s="86"/>
      <c r="N87" s="86"/>
      <c r="O87" s="86"/>
      <c r="P87" s="38">
        <f t="shared" si="11"/>
        <v>110</v>
      </c>
      <c r="Q87" s="38">
        <v>110</v>
      </c>
      <c r="R87" s="38"/>
      <c r="S87" s="38"/>
      <c r="T87" s="38"/>
      <c r="U87" s="38"/>
      <c r="V87" s="38"/>
      <c r="W87" s="38"/>
      <c r="X87" s="38">
        <f t="shared" si="12"/>
        <v>134</v>
      </c>
      <c r="Y87" s="38">
        <v>134</v>
      </c>
      <c r="Z87" s="38"/>
      <c r="AA87" s="38"/>
      <c r="AB87" s="38"/>
      <c r="AC87" s="38"/>
      <c r="AD87" s="38"/>
      <c r="AE87" s="38"/>
      <c r="AF87" s="38"/>
    </row>
    <row r="88" spans="1:32" x14ac:dyDescent="0.2">
      <c r="A88" s="38" t="s">
        <v>737</v>
      </c>
      <c r="B88" s="38" t="s">
        <v>461</v>
      </c>
      <c r="C88" s="38">
        <v>65</v>
      </c>
      <c r="D88" s="38"/>
      <c r="E88" s="56"/>
      <c r="F88" s="56" t="s">
        <v>772</v>
      </c>
      <c r="G88" s="43" t="s">
        <v>637</v>
      </c>
      <c r="H88" s="83" t="s">
        <v>153</v>
      </c>
      <c r="I88" s="83"/>
      <c r="J88" s="83"/>
      <c r="K88" s="83"/>
      <c r="L88" s="83"/>
      <c r="M88" s="83"/>
      <c r="N88" s="83"/>
      <c r="O88" s="83"/>
      <c r="P88" s="38">
        <f t="shared" si="11"/>
        <v>87.5</v>
      </c>
      <c r="Q88" s="38">
        <f>687.6-Q90</f>
        <v>87.5</v>
      </c>
      <c r="R88" s="38"/>
      <c r="S88" s="38"/>
      <c r="T88" s="38"/>
      <c r="U88" s="38"/>
      <c r="V88" s="38"/>
      <c r="W88" s="38"/>
      <c r="X88" s="38">
        <f t="shared" si="12"/>
        <v>134</v>
      </c>
      <c r="Y88" s="38">
        <f>734.1-Y90</f>
        <v>134</v>
      </c>
      <c r="Z88" s="38"/>
      <c r="AA88" s="38"/>
      <c r="AB88" s="38"/>
      <c r="AC88" s="38"/>
      <c r="AD88" s="38"/>
      <c r="AE88" s="38"/>
      <c r="AF88" s="38"/>
    </row>
    <row r="89" spans="1:32" x14ac:dyDescent="0.2">
      <c r="A89" s="38" t="s">
        <v>738</v>
      </c>
      <c r="B89" s="38" t="s">
        <v>531</v>
      </c>
      <c r="C89" s="38"/>
      <c r="D89" s="56"/>
      <c r="E89" s="69"/>
      <c r="F89" s="69"/>
      <c r="G89" s="43" t="s">
        <v>485</v>
      </c>
      <c r="H89" s="73"/>
      <c r="I89" s="73"/>
      <c r="J89" s="73"/>
      <c r="K89" s="73"/>
      <c r="L89" s="73"/>
      <c r="M89" s="73"/>
      <c r="N89" s="73"/>
      <c r="O89" s="73"/>
      <c r="P89" s="38">
        <f t="shared" si="11"/>
        <v>2063.3000000000002</v>
      </c>
      <c r="Q89" s="38">
        <f>2009.4+53.9</f>
        <v>2063.3000000000002</v>
      </c>
      <c r="R89" s="38"/>
      <c r="S89" s="38"/>
      <c r="T89" s="38"/>
      <c r="U89" s="38"/>
      <c r="V89" s="38"/>
      <c r="W89" s="38"/>
      <c r="X89" s="38">
        <f t="shared" si="12"/>
        <v>2063.3000000000002</v>
      </c>
      <c r="Y89" s="38">
        <f>2009.4+53.9</f>
        <v>2063.3000000000002</v>
      </c>
      <c r="Z89" s="38"/>
      <c r="AA89" s="38"/>
      <c r="AB89" s="38"/>
      <c r="AC89" s="38"/>
      <c r="AD89" s="38"/>
      <c r="AE89" s="38"/>
      <c r="AF89" s="38"/>
    </row>
    <row r="90" spans="1:32" x14ac:dyDescent="0.2">
      <c r="A90" s="38" t="s">
        <v>739</v>
      </c>
      <c r="B90" s="38" t="s">
        <v>532</v>
      </c>
      <c r="C90" s="38"/>
      <c r="D90" s="56"/>
      <c r="E90" s="69"/>
      <c r="F90" s="69"/>
      <c r="G90" s="43" t="s">
        <v>638</v>
      </c>
      <c r="H90" s="73"/>
      <c r="I90" s="73"/>
      <c r="J90" s="73"/>
      <c r="K90" s="73"/>
      <c r="L90" s="73"/>
      <c r="M90" s="73"/>
      <c r="N90" s="73"/>
      <c r="O90" s="73"/>
      <c r="P90" s="38">
        <f t="shared" si="11"/>
        <v>600.1</v>
      </c>
      <c r="Q90" s="38">
        <v>600.1</v>
      </c>
      <c r="R90" s="38"/>
      <c r="S90" s="38"/>
      <c r="T90" s="38"/>
      <c r="U90" s="38"/>
      <c r="V90" s="38"/>
      <c r="W90" s="38"/>
      <c r="X90" s="38">
        <f t="shared" si="12"/>
        <v>600.1</v>
      </c>
      <c r="Y90" s="38">
        <v>600.1</v>
      </c>
      <c r="Z90" s="38"/>
      <c r="AA90" s="38"/>
      <c r="AB90" s="38"/>
      <c r="AC90" s="38"/>
      <c r="AD90" s="38"/>
      <c r="AE90" s="38"/>
      <c r="AF90" s="38"/>
    </row>
    <row r="91" spans="1:32" x14ac:dyDescent="0.2">
      <c r="A91" s="38" t="s">
        <v>740</v>
      </c>
      <c r="B91" s="38" t="s">
        <v>543</v>
      </c>
      <c r="C91" s="38"/>
      <c r="D91" s="56"/>
      <c r="E91" s="69"/>
      <c r="F91" s="69"/>
      <c r="G91" s="43" t="s">
        <v>544</v>
      </c>
      <c r="H91" s="73"/>
      <c r="I91" s="73"/>
      <c r="J91" s="73"/>
      <c r="K91" s="73"/>
      <c r="L91" s="73"/>
      <c r="M91" s="73"/>
      <c r="N91" s="73"/>
      <c r="O91" s="73"/>
      <c r="P91" s="38">
        <f t="shared" si="11"/>
        <v>1506.4</v>
      </c>
      <c r="Q91" s="38">
        <f>1461.4+45</f>
        <v>1506.4</v>
      </c>
      <c r="R91" s="38"/>
      <c r="S91" s="38"/>
      <c r="T91" s="38"/>
      <c r="U91" s="38"/>
      <c r="V91" s="38"/>
      <c r="W91" s="38"/>
      <c r="X91" s="38">
        <f t="shared" si="12"/>
        <v>1506.4</v>
      </c>
      <c r="Y91" s="38">
        <f>Q91</f>
        <v>1506.4</v>
      </c>
      <c r="Z91" s="38"/>
      <c r="AA91" s="38"/>
      <c r="AB91" s="38"/>
      <c r="AC91" s="38"/>
      <c r="AD91" s="38"/>
      <c r="AE91" s="38"/>
      <c r="AF91" s="38"/>
    </row>
    <row r="92" spans="1:32" x14ac:dyDescent="0.2">
      <c r="A92" s="38" t="s">
        <v>741</v>
      </c>
      <c r="B92" s="38" t="s">
        <v>542</v>
      </c>
      <c r="C92" s="38"/>
      <c r="D92" s="56"/>
      <c r="E92" s="69"/>
      <c r="F92" s="69"/>
      <c r="G92" s="43" t="s">
        <v>300</v>
      </c>
      <c r="H92" s="73"/>
      <c r="I92" s="73"/>
      <c r="J92" s="73"/>
      <c r="K92" s="73"/>
      <c r="L92" s="73"/>
      <c r="M92" s="73"/>
      <c r="N92" s="73"/>
      <c r="O92" s="73"/>
      <c r="P92" s="38">
        <f t="shared" si="11"/>
        <v>1284.9000000000001</v>
      </c>
      <c r="Q92" s="38">
        <v>1284.9000000000001</v>
      </c>
      <c r="R92" s="38"/>
      <c r="S92" s="38"/>
      <c r="T92" s="38"/>
      <c r="U92" s="38"/>
      <c r="V92" s="38"/>
      <c r="W92" s="38"/>
      <c r="X92" s="38">
        <f t="shared" si="12"/>
        <v>1284.9000000000001</v>
      </c>
      <c r="Y92" s="38">
        <v>1284.9000000000001</v>
      </c>
      <c r="Z92" s="38"/>
      <c r="AA92" s="38"/>
      <c r="AB92" s="38"/>
      <c r="AC92" s="38"/>
      <c r="AD92" s="38"/>
      <c r="AE92" s="38"/>
      <c r="AF92" s="38"/>
    </row>
    <row r="93" spans="1:32" x14ac:dyDescent="0.2">
      <c r="A93" s="38" t="s">
        <v>742</v>
      </c>
      <c r="B93" s="38" t="s">
        <v>533</v>
      </c>
      <c r="C93" s="38"/>
      <c r="D93" s="56"/>
      <c r="E93" s="69"/>
      <c r="F93" s="69"/>
      <c r="G93" s="85" t="s">
        <v>499</v>
      </c>
      <c r="H93" s="73"/>
      <c r="I93" s="73"/>
      <c r="J93" s="73"/>
      <c r="K93" s="73"/>
      <c r="L93" s="73"/>
      <c r="M93" s="73"/>
      <c r="N93" s="73"/>
      <c r="O93" s="73"/>
      <c r="P93" s="38">
        <f t="shared" si="11"/>
        <v>3069</v>
      </c>
      <c r="Q93" s="38">
        <v>3069</v>
      </c>
      <c r="R93" s="38"/>
      <c r="S93" s="38"/>
      <c r="T93" s="38"/>
      <c r="U93" s="38"/>
      <c r="V93" s="38"/>
      <c r="W93" s="38"/>
      <c r="X93" s="38">
        <f t="shared" si="12"/>
        <v>3069</v>
      </c>
      <c r="Y93" s="38">
        <v>3069</v>
      </c>
      <c r="Z93" s="38"/>
      <c r="AA93" s="38"/>
      <c r="AB93" s="38"/>
      <c r="AC93" s="38"/>
      <c r="AD93" s="38"/>
      <c r="AE93" s="38"/>
      <c r="AF93" s="38"/>
    </row>
    <row r="94" spans="1:32" x14ac:dyDescent="0.2">
      <c r="G94" s="88"/>
      <c r="O94" s="89" t="s">
        <v>52</v>
      </c>
      <c r="P94" s="90">
        <f t="shared" ref="P94:AE94" si="14">SUM(P78:P93)</f>
        <v>1250378.2000000002</v>
      </c>
      <c r="Q94" s="90">
        <f t="shared" si="14"/>
        <v>56123.299999999996</v>
      </c>
      <c r="R94" s="90">
        <f t="shared" si="14"/>
        <v>0</v>
      </c>
      <c r="S94" s="90">
        <f t="shared" si="14"/>
        <v>1192754</v>
      </c>
      <c r="T94" s="90">
        <f t="shared" si="14"/>
        <v>0</v>
      </c>
      <c r="U94" s="90">
        <f t="shared" si="14"/>
        <v>0</v>
      </c>
      <c r="V94" s="90">
        <f t="shared" si="14"/>
        <v>700</v>
      </c>
      <c r="W94" s="90">
        <f t="shared" si="14"/>
        <v>800.90000000000009</v>
      </c>
      <c r="X94" s="90">
        <f t="shared" si="14"/>
        <v>1325058.1680000003</v>
      </c>
      <c r="Y94" s="90">
        <f t="shared" si="14"/>
        <v>58975.028000000006</v>
      </c>
      <c r="Z94" s="90">
        <f t="shared" si="14"/>
        <v>0</v>
      </c>
      <c r="AA94" s="90">
        <f t="shared" si="14"/>
        <v>1265282.2400000002</v>
      </c>
      <c r="AB94" s="90">
        <f t="shared" si="14"/>
        <v>0</v>
      </c>
      <c r="AC94" s="90">
        <f t="shared" si="14"/>
        <v>0</v>
      </c>
      <c r="AD94" s="90">
        <f t="shared" si="14"/>
        <v>0</v>
      </c>
      <c r="AE94" s="90">
        <f t="shared" si="14"/>
        <v>800.90000000000009</v>
      </c>
    </row>
    <row r="96" spans="1:32" x14ac:dyDescent="0.2">
      <c r="E96" s="42">
        <f>6530.9-Q93</f>
        <v>3461.8999999999996</v>
      </c>
    </row>
    <row r="97" spans="1:32" x14ac:dyDescent="0.2">
      <c r="L97" s="42" t="s">
        <v>534</v>
      </c>
      <c r="P97" s="42" t="str">
        <f t="shared" ref="P97:AE97" si="15">P77</f>
        <v>Total</v>
      </c>
      <c r="Q97" s="42" t="str">
        <f t="shared" si="15"/>
        <v>Recurr.</v>
      </c>
      <c r="R97" s="42" t="str">
        <f t="shared" si="15"/>
        <v>Dev.</v>
      </c>
      <c r="S97" s="42" t="str">
        <f t="shared" si="15"/>
        <v>Prov.</v>
      </c>
      <c r="T97" s="42" t="str">
        <f t="shared" si="15"/>
        <v>Dept</v>
      </c>
      <c r="U97" s="42" t="str">
        <f t="shared" si="15"/>
        <v>TFF</v>
      </c>
      <c r="V97" s="42" t="str">
        <f t="shared" si="15"/>
        <v>DP</v>
      </c>
      <c r="W97" s="42" t="str">
        <f t="shared" si="15"/>
        <v>Gap</v>
      </c>
      <c r="X97" s="42" t="str">
        <f t="shared" si="15"/>
        <v>Total</v>
      </c>
      <c r="Y97" s="42" t="str">
        <f t="shared" si="15"/>
        <v>Recurr.</v>
      </c>
      <c r="Z97" s="42" t="str">
        <f t="shared" si="15"/>
        <v>Dev.</v>
      </c>
      <c r="AA97" s="42" t="str">
        <f t="shared" si="15"/>
        <v>Prov.</v>
      </c>
      <c r="AB97" s="42" t="str">
        <f t="shared" si="15"/>
        <v>Dept</v>
      </c>
      <c r="AC97" s="42" t="str">
        <f t="shared" si="15"/>
        <v>TFF</v>
      </c>
      <c r="AD97" s="42" t="str">
        <f t="shared" si="15"/>
        <v>DP</v>
      </c>
      <c r="AE97" s="42" t="str">
        <f t="shared" si="15"/>
        <v>Gap</v>
      </c>
    </row>
    <row r="98" spans="1:32" x14ac:dyDescent="0.2">
      <c r="P98" s="42">
        <f t="shared" ref="P98:AE98" si="16">P94+P66+P46+P10</f>
        <v>1283867.55</v>
      </c>
      <c r="Q98" s="42">
        <f t="shared" si="16"/>
        <v>75895.05</v>
      </c>
      <c r="R98" s="42">
        <f t="shared" si="16"/>
        <v>0</v>
      </c>
      <c r="S98" s="42">
        <f t="shared" si="16"/>
        <v>1197754</v>
      </c>
      <c r="T98" s="42">
        <f t="shared" si="16"/>
        <v>0</v>
      </c>
      <c r="U98" s="42">
        <f t="shared" si="16"/>
        <v>0</v>
      </c>
      <c r="V98" s="42">
        <f t="shared" si="16"/>
        <v>7100</v>
      </c>
      <c r="W98" s="42">
        <f t="shared" si="16"/>
        <v>3118.5</v>
      </c>
      <c r="X98" s="42">
        <f t="shared" si="16"/>
        <v>1364087.9180000003</v>
      </c>
      <c r="Y98" s="42">
        <f t="shared" si="16"/>
        <v>79518.278000000006</v>
      </c>
      <c r="Z98" s="42">
        <f t="shared" si="16"/>
        <v>0</v>
      </c>
      <c r="AA98" s="42">
        <f t="shared" si="16"/>
        <v>1275282.2400000002</v>
      </c>
      <c r="AB98" s="42">
        <f t="shared" si="16"/>
        <v>0</v>
      </c>
      <c r="AC98" s="42">
        <f t="shared" si="16"/>
        <v>0</v>
      </c>
      <c r="AD98" s="42">
        <f t="shared" si="16"/>
        <v>5900</v>
      </c>
      <c r="AE98" s="42">
        <f t="shared" si="16"/>
        <v>3387.4</v>
      </c>
    </row>
    <row r="99" spans="1:32" x14ac:dyDescent="0.2">
      <c r="B99" s="42" t="s">
        <v>720</v>
      </c>
    </row>
    <row r="101" spans="1:32" x14ac:dyDescent="0.2">
      <c r="A101" s="38"/>
      <c r="B101" s="68" t="s">
        <v>42</v>
      </c>
      <c r="C101" s="68" t="s">
        <v>760</v>
      </c>
      <c r="D101" s="68" t="s">
        <v>47</v>
      </c>
      <c r="E101" s="68" t="s">
        <v>48</v>
      </c>
      <c r="F101" s="68" t="s">
        <v>774</v>
      </c>
      <c r="G101" s="80" t="s">
        <v>43</v>
      </c>
    </row>
    <row r="102" spans="1:32" ht="33.75" x14ac:dyDescent="0.2">
      <c r="A102" s="38" t="s">
        <v>585</v>
      </c>
      <c r="B102" s="38" t="s">
        <v>490</v>
      </c>
      <c r="C102" s="38"/>
      <c r="D102" s="56" t="s">
        <v>491</v>
      </c>
      <c r="E102" s="56" t="s">
        <v>477</v>
      </c>
      <c r="F102" s="56"/>
      <c r="G102" s="43" t="s">
        <v>475</v>
      </c>
      <c r="H102" s="83"/>
      <c r="I102" s="86"/>
      <c r="J102" s="83"/>
      <c r="K102" s="83"/>
      <c r="L102" s="83"/>
      <c r="M102" s="86"/>
      <c r="N102" s="83"/>
      <c r="O102" s="83"/>
      <c r="P102" s="38">
        <f>SUM(Q102:W102)</f>
        <v>0</v>
      </c>
      <c r="Q102" s="38"/>
      <c r="R102" s="38"/>
      <c r="S102" s="38"/>
      <c r="T102" s="38"/>
      <c r="U102" s="38"/>
      <c r="V102" s="38"/>
      <c r="W102" s="38"/>
      <c r="X102" s="38">
        <f>SUM(Y102:AE102)</f>
        <v>0</v>
      </c>
      <c r="Y102" s="38"/>
      <c r="Z102" s="38"/>
      <c r="AA102" s="38"/>
      <c r="AB102" s="38"/>
      <c r="AC102" s="38"/>
      <c r="AD102" s="38"/>
      <c r="AE102" s="38"/>
      <c r="AF102" s="38" t="s">
        <v>743</v>
      </c>
    </row>
    <row r="103" spans="1:32" x14ac:dyDescent="0.2">
      <c r="A103" s="38" t="s">
        <v>735</v>
      </c>
      <c r="B103" s="38" t="s">
        <v>459</v>
      </c>
      <c r="C103" s="38"/>
      <c r="D103" s="38"/>
      <c r="E103" s="56"/>
      <c r="F103" s="56"/>
      <c r="G103" s="43" t="s">
        <v>292</v>
      </c>
      <c r="H103" s="83"/>
      <c r="I103" s="83"/>
      <c r="J103" s="83"/>
      <c r="K103" s="83"/>
      <c r="L103" s="86"/>
      <c r="M103" s="86"/>
      <c r="N103" s="86"/>
      <c r="O103" s="86"/>
      <c r="P103" s="38">
        <f>SUM(Q103:W103)</f>
        <v>0</v>
      </c>
      <c r="Q103" s="38"/>
      <c r="R103" s="38"/>
      <c r="S103" s="38"/>
      <c r="T103" s="38"/>
      <c r="U103" s="38"/>
      <c r="V103" s="38"/>
      <c r="W103" s="38"/>
      <c r="X103" s="38">
        <f>SUM(Y103:AE103)</f>
        <v>0</v>
      </c>
      <c r="Y103" s="38"/>
      <c r="Z103" s="38"/>
      <c r="AA103" s="38"/>
      <c r="AB103" s="38"/>
      <c r="AC103" s="38"/>
      <c r="AD103" s="38"/>
      <c r="AE103" s="38"/>
      <c r="AF103" s="38" t="s">
        <v>743</v>
      </c>
    </row>
  </sheetData>
  <mergeCells count="24">
    <mergeCell ref="H75:O75"/>
    <mergeCell ref="P75:AE75"/>
    <mergeCell ref="H76:K76"/>
    <mergeCell ref="L76:O76"/>
    <mergeCell ref="P76:W76"/>
    <mergeCell ref="X76:AE76"/>
    <mergeCell ref="H54:O54"/>
    <mergeCell ref="P54:AE54"/>
    <mergeCell ref="H55:K55"/>
    <mergeCell ref="L55:O55"/>
    <mergeCell ref="P55:W55"/>
    <mergeCell ref="X55:AE55"/>
    <mergeCell ref="H4:O4"/>
    <mergeCell ref="P4:AE4"/>
    <mergeCell ref="H5:K5"/>
    <mergeCell ref="L5:O5"/>
    <mergeCell ref="P5:W5"/>
    <mergeCell ref="X5:AE5"/>
    <mergeCell ref="H16:O16"/>
    <mergeCell ref="P16:AE16"/>
    <mergeCell ref="H17:K17"/>
    <mergeCell ref="L17:O17"/>
    <mergeCell ref="P17:W17"/>
    <mergeCell ref="X17:AE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S19"/>
  <sheetViews>
    <sheetView workbookViewId="0">
      <selection activeCell="C18" sqref="A1:XFD1048576"/>
    </sheetView>
  </sheetViews>
  <sheetFormatPr defaultColWidth="8.7109375" defaultRowHeight="15" x14ac:dyDescent="0.25"/>
  <cols>
    <col min="1" max="1" width="8.7109375" style="113"/>
    <col min="2" max="2" width="12.5703125" style="113" bestFit="1" customWidth="1"/>
    <col min="3" max="3" width="11.140625" style="113" bestFit="1" customWidth="1"/>
    <col min="4" max="4" width="10.140625" style="113" bestFit="1" customWidth="1"/>
    <col min="5" max="5" width="12.5703125" style="113" bestFit="1" customWidth="1"/>
    <col min="6" max="6" width="9.140625" style="113" bestFit="1" customWidth="1"/>
    <col min="7" max="7" width="11.140625" style="113" bestFit="1" customWidth="1"/>
    <col min="8" max="8" width="11.42578125" style="113" customWidth="1"/>
    <col min="9" max="9" width="10.140625" style="113" bestFit="1" customWidth="1"/>
    <col min="10" max="10" width="12.5703125" style="113" bestFit="1" customWidth="1"/>
    <col min="11" max="11" width="11.140625" style="113" bestFit="1" customWidth="1"/>
    <col min="12" max="12" width="10.140625" style="113" bestFit="1" customWidth="1"/>
    <col min="13" max="13" width="12.5703125" style="113" bestFit="1" customWidth="1"/>
    <col min="14" max="14" width="9.140625" style="113" bestFit="1" customWidth="1"/>
    <col min="15" max="16" width="11.140625" style="113" bestFit="1" customWidth="1"/>
    <col min="17" max="17" width="10.140625" style="113" bestFit="1" customWidth="1"/>
    <col min="18" max="18" width="13.140625" style="113" customWidth="1"/>
    <col min="19" max="16384" width="8.7109375" style="113"/>
  </cols>
  <sheetData>
    <row r="4" spans="1:19" x14ac:dyDescent="0.25">
      <c r="S4" s="114"/>
    </row>
    <row r="5" spans="1:19" x14ac:dyDescent="0.25">
      <c r="A5" s="111"/>
      <c r="B5" s="111" t="str">
        <f>'FA 1'!P56</f>
        <v>Total</v>
      </c>
      <c r="C5" s="111" t="str">
        <f>'FA 1'!Q56</f>
        <v>Recurr.</v>
      </c>
      <c r="D5" s="111" t="str">
        <f>'FA 1'!R56</f>
        <v>Dev.</v>
      </c>
      <c r="E5" s="111" t="str">
        <f>'FA 1'!S56</f>
        <v>Prov.</v>
      </c>
      <c r="F5" s="111" t="str">
        <f>'FA 1'!T56</f>
        <v>Dept</v>
      </c>
      <c r="G5" s="111" t="str">
        <f>'FA 1'!U56</f>
        <v>TFF</v>
      </c>
      <c r="H5" s="111" t="str">
        <f>'FA 1'!V56</f>
        <v>DP</v>
      </c>
      <c r="I5" s="111" t="str">
        <f>'FA 1'!W56</f>
        <v>Gap</v>
      </c>
      <c r="J5" s="111" t="str">
        <f>'FA 1'!X56</f>
        <v>Total</v>
      </c>
      <c r="K5" s="111" t="str">
        <f>'FA 1'!Y56</f>
        <v>Recurr.</v>
      </c>
      <c r="L5" s="111" t="str">
        <f>'FA 1'!Z56</f>
        <v>Dev.</v>
      </c>
      <c r="M5" s="111" t="str">
        <f>'FA 1'!AA56</f>
        <v>Prov.</v>
      </c>
      <c r="N5" s="111" t="str">
        <f>'FA 1'!AB56</f>
        <v>Dept</v>
      </c>
      <c r="O5" s="111" t="str">
        <f>'FA 1'!AC56</f>
        <v>TFF</v>
      </c>
      <c r="P5" s="111" t="str">
        <f>'FA 1'!AD56</f>
        <v>DP</v>
      </c>
      <c r="Q5" s="111" t="str">
        <f>'FA 1'!AE56</f>
        <v>Gap</v>
      </c>
    </row>
    <row r="6" spans="1:19" x14ac:dyDescent="0.25">
      <c r="A6" s="111" t="s">
        <v>536</v>
      </c>
      <c r="B6" s="115">
        <f>'FA 1'!P57</f>
        <v>585572.64021854603</v>
      </c>
      <c r="C6" s="115">
        <f>'FA 1'!Q57</f>
        <v>2735.2</v>
      </c>
      <c r="D6" s="115">
        <f>'FA 1'!R57</f>
        <v>0</v>
      </c>
      <c r="E6" s="115">
        <f>'FA 1'!S57</f>
        <v>395065.8</v>
      </c>
      <c r="F6" s="115">
        <f>'FA 1'!T57</f>
        <v>0</v>
      </c>
      <c r="G6" s="115">
        <f>'FA 1'!U57</f>
        <v>180100</v>
      </c>
      <c r="H6" s="115">
        <f>'FA 1'!V57</f>
        <v>4515.0402185460616</v>
      </c>
      <c r="I6" s="115">
        <f>'FA 1'!W57</f>
        <v>3156.6</v>
      </c>
      <c r="J6" s="115">
        <f>'FA 1'!X57</f>
        <v>578245.19999999995</v>
      </c>
      <c r="K6" s="115">
        <f>'FA 1'!Y57</f>
        <v>1447.1</v>
      </c>
      <c r="L6" s="115">
        <f>'FA 1'!Z57</f>
        <v>0</v>
      </c>
      <c r="M6" s="115">
        <f>'FA 1'!AA57</f>
        <v>377565.8</v>
      </c>
      <c r="N6" s="115">
        <f>'FA 1'!AB57</f>
        <v>0</v>
      </c>
      <c r="O6" s="115">
        <f>'FA 1'!AC57</f>
        <v>192100</v>
      </c>
      <c r="P6" s="115">
        <f>'FA 1'!AD57</f>
        <v>4625.7</v>
      </c>
      <c r="Q6" s="115">
        <f>'FA 1'!AE57</f>
        <v>2506.6</v>
      </c>
      <c r="R6" s="116"/>
    </row>
    <row r="7" spans="1:19" x14ac:dyDescent="0.25">
      <c r="A7" s="111" t="s">
        <v>537</v>
      </c>
      <c r="B7" s="115">
        <f>'FA 2'!P52</f>
        <v>75644.95</v>
      </c>
      <c r="C7" s="115">
        <f>'FA 2'!Q52</f>
        <v>22477.45</v>
      </c>
      <c r="D7" s="115">
        <f>'FA 2'!R52</f>
        <v>15000</v>
      </c>
      <c r="E7" s="115">
        <f>'FA 2'!S52</f>
        <v>8000</v>
      </c>
      <c r="F7" s="115">
        <f>'FA 2'!T52</f>
        <v>0</v>
      </c>
      <c r="G7" s="115">
        <f>'FA 2'!U52</f>
        <v>0</v>
      </c>
      <c r="H7" s="115">
        <f>'FA 2'!V52</f>
        <v>26860</v>
      </c>
      <c r="I7" s="115">
        <f>'FA 2'!W52</f>
        <v>3307.5</v>
      </c>
      <c r="J7" s="115">
        <f>'FA 2'!X52</f>
        <v>74191.05</v>
      </c>
      <c r="K7" s="115">
        <f>'FA 2'!Y52</f>
        <v>23293.55</v>
      </c>
      <c r="L7" s="115">
        <f>'FA 2'!Z52</f>
        <v>15000</v>
      </c>
      <c r="M7" s="115">
        <f>'FA 2'!AA52</f>
        <v>8000</v>
      </c>
      <c r="N7" s="115">
        <f>'FA 2'!AB52</f>
        <v>0</v>
      </c>
      <c r="O7" s="115">
        <f>'FA 2'!AC52</f>
        <v>0</v>
      </c>
      <c r="P7" s="115">
        <f>'FA 2'!AD52</f>
        <v>24590</v>
      </c>
      <c r="Q7" s="115">
        <f>'FA 2'!AE52</f>
        <v>3307.5</v>
      </c>
      <c r="R7" s="116"/>
    </row>
    <row r="8" spans="1:19" x14ac:dyDescent="0.25">
      <c r="A8" s="111" t="s">
        <v>538</v>
      </c>
      <c r="B8" s="115">
        <f>'FA 3'!P70</f>
        <v>337147.96666666667</v>
      </c>
      <c r="C8" s="115">
        <f>'FA 3'!Q70</f>
        <v>41286.300000000003</v>
      </c>
      <c r="D8" s="115">
        <f>'FA 3'!R70</f>
        <v>0</v>
      </c>
      <c r="E8" s="115">
        <f>'FA 3'!S70</f>
        <v>53151.9</v>
      </c>
      <c r="F8" s="115">
        <f>'FA 3'!T70</f>
        <v>22.4</v>
      </c>
      <c r="G8" s="115">
        <f>'FA 3'!U70</f>
        <v>174672</v>
      </c>
      <c r="H8" s="115">
        <f>'FA 3'!V70</f>
        <v>44581.666666666664</v>
      </c>
      <c r="I8" s="115">
        <f>'FA 3'!W70</f>
        <v>23433.699999999997</v>
      </c>
      <c r="J8" s="115">
        <f>'FA 3'!X70</f>
        <v>321259.40000000002</v>
      </c>
      <c r="K8" s="115">
        <f>'FA 3'!Y70</f>
        <v>42690.2</v>
      </c>
      <c r="L8" s="115">
        <f>'FA 3'!Z70</f>
        <v>0</v>
      </c>
      <c r="M8" s="115">
        <f>'FA 3'!AA70</f>
        <v>53151.9</v>
      </c>
      <c r="N8" s="115">
        <f>'FA 3'!AB70</f>
        <v>23.9</v>
      </c>
      <c r="O8" s="115">
        <f>'FA 3'!AC70</f>
        <v>186482</v>
      </c>
      <c r="P8" s="115">
        <f>'FA 3'!AD70</f>
        <v>44144.666666666664</v>
      </c>
      <c r="Q8" s="115">
        <f>'FA 3'!AE70</f>
        <v>23433.4</v>
      </c>
      <c r="R8" s="116"/>
    </row>
    <row r="9" spans="1:19" x14ac:dyDescent="0.25">
      <c r="A9" s="111" t="s">
        <v>539</v>
      </c>
      <c r="B9" s="115">
        <f>'FA 4'!P58</f>
        <v>94831.358043709202</v>
      </c>
      <c r="C9" s="115">
        <f>'FA 4'!Q58</f>
        <v>36083.75</v>
      </c>
      <c r="D9" s="115">
        <f>'FA 4'!R58</f>
        <v>23000</v>
      </c>
      <c r="E9" s="115">
        <f>'FA 4'!S58</f>
        <v>2000</v>
      </c>
      <c r="F9" s="115">
        <f>'FA 4'!T58</f>
        <v>304</v>
      </c>
      <c r="G9" s="115">
        <f>'FA 4'!U58</f>
        <v>0</v>
      </c>
      <c r="H9" s="115">
        <f>'FA 4'!V58</f>
        <v>29983.008043709211</v>
      </c>
      <c r="I9" s="115">
        <f>'FA 4'!W58</f>
        <v>3460.6</v>
      </c>
      <c r="J9" s="115">
        <f>'FA 4'!X58</f>
        <v>108647.73999999999</v>
      </c>
      <c r="K9" s="115">
        <f>'FA 4'!Y58</f>
        <v>37877.5</v>
      </c>
      <c r="L9" s="115">
        <f>'FA 4'!Z58</f>
        <v>22000</v>
      </c>
      <c r="M9" s="115">
        <f>'FA 4'!AA58</f>
        <v>2000</v>
      </c>
      <c r="N9" s="115">
        <f>'FA 4'!AB58</f>
        <v>324.5</v>
      </c>
      <c r="O9" s="115">
        <f>'FA 4'!AC58</f>
        <v>0</v>
      </c>
      <c r="P9" s="115">
        <f>'FA 4'!AD58</f>
        <v>42985.14</v>
      </c>
      <c r="Q9" s="115">
        <f>'FA 4'!AE58</f>
        <v>3460.6</v>
      </c>
      <c r="R9" s="116"/>
    </row>
    <row r="10" spans="1:19" x14ac:dyDescent="0.25">
      <c r="A10" s="111" t="s">
        <v>540</v>
      </c>
      <c r="B10" s="115">
        <f>'FA 5'!P37</f>
        <v>289792.5</v>
      </c>
      <c r="C10" s="115">
        <f>'FA 5'!Q37</f>
        <v>10279.5</v>
      </c>
      <c r="D10" s="115">
        <f>'FA 5'!R37</f>
        <v>0</v>
      </c>
      <c r="E10" s="115">
        <f>'FA 5'!S37</f>
        <v>38200</v>
      </c>
      <c r="F10" s="115">
        <f>'FA 5'!T37</f>
        <v>0</v>
      </c>
      <c r="G10" s="115">
        <f>'FA 5'!U37</f>
        <v>228200</v>
      </c>
      <c r="H10" s="115">
        <f>'FA 5'!V37</f>
        <v>7350</v>
      </c>
      <c r="I10" s="115">
        <f>'FA 5'!W37</f>
        <v>5763</v>
      </c>
      <c r="J10" s="115">
        <f>'FA 5'!X37</f>
        <v>205072.20000000004</v>
      </c>
      <c r="K10" s="115">
        <f>'FA 5'!Y37</f>
        <v>10709.2</v>
      </c>
      <c r="L10" s="115">
        <f>'FA 5'!Z37</f>
        <v>0</v>
      </c>
      <c r="M10" s="115">
        <f>'FA 5'!AA37</f>
        <v>33200</v>
      </c>
      <c r="N10" s="115">
        <f>'FA 5'!AB37</f>
        <v>0</v>
      </c>
      <c r="O10" s="115">
        <f>'FA 5'!AC37</f>
        <v>243700</v>
      </c>
      <c r="P10" s="115">
        <f>'FA 5'!AD37</f>
        <v>7000</v>
      </c>
      <c r="Q10" s="115">
        <f>'FA 5'!AE37</f>
        <v>5763</v>
      </c>
      <c r="R10" s="116"/>
    </row>
    <row r="11" spans="1:19" x14ac:dyDescent="0.25">
      <c r="A11" s="111" t="s">
        <v>541</v>
      </c>
      <c r="B11" s="115">
        <f>'FA 6'!P98</f>
        <v>1283867.55</v>
      </c>
      <c r="C11" s="115">
        <f>'FA 6'!Q98</f>
        <v>75895.05</v>
      </c>
      <c r="D11" s="115">
        <f>'FA 6'!R98</f>
        <v>0</v>
      </c>
      <c r="E11" s="115">
        <f>'FA 6'!S98</f>
        <v>1197754</v>
      </c>
      <c r="F11" s="115">
        <f>'FA 6'!T98</f>
        <v>0</v>
      </c>
      <c r="G11" s="115">
        <f>'FA 6'!U98</f>
        <v>0</v>
      </c>
      <c r="H11" s="115">
        <f>'FA 6'!V98</f>
        <v>7100</v>
      </c>
      <c r="I11" s="115">
        <f>'FA 6'!W98</f>
        <v>3118.5</v>
      </c>
      <c r="J11" s="115">
        <f>'FA 6'!X98</f>
        <v>1364087.9180000003</v>
      </c>
      <c r="K11" s="115">
        <f>'FA 6'!Y98</f>
        <v>79518.278000000006</v>
      </c>
      <c r="L11" s="115">
        <f>'FA 6'!Z98</f>
        <v>0</v>
      </c>
      <c r="M11" s="115">
        <f>'FA 6'!AA98</f>
        <v>1275282.2400000002</v>
      </c>
      <c r="N11" s="115">
        <f>'FA 6'!AB98</f>
        <v>0</v>
      </c>
      <c r="O11" s="115">
        <f>'FA 6'!AC98</f>
        <v>0</v>
      </c>
      <c r="P11" s="115">
        <f>'FA 6'!AD98</f>
        <v>5900</v>
      </c>
      <c r="Q11" s="115">
        <f>'FA 6'!AE98</f>
        <v>3387.4</v>
      </c>
      <c r="R11" s="116"/>
    </row>
    <row r="12" spans="1:19" x14ac:dyDescent="0.25">
      <c r="A12" s="111"/>
      <c r="B12" s="115">
        <f>SUM(B6:B11)</f>
        <v>2666856.9649289222</v>
      </c>
      <c r="C12" s="115">
        <f t="shared" ref="C12:Q12" si="0">SUM(C6:C11)</f>
        <v>188757.25</v>
      </c>
      <c r="D12" s="115">
        <f t="shared" si="0"/>
        <v>38000</v>
      </c>
      <c r="E12" s="115">
        <f t="shared" si="0"/>
        <v>1694171.7</v>
      </c>
      <c r="F12" s="115">
        <f t="shared" si="0"/>
        <v>326.39999999999998</v>
      </c>
      <c r="G12" s="115">
        <f t="shared" si="0"/>
        <v>582972</v>
      </c>
      <c r="H12" s="115">
        <f t="shared" si="0"/>
        <v>120389.71492892194</v>
      </c>
      <c r="I12" s="115">
        <f t="shared" si="0"/>
        <v>42239.899999999994</v>
      </c>
      <c r="J12" s="115">
        <f t="shared" si="0"/>
        <v>2651503.5080000004</v>
      </c>
      <c r="K12" s="115">
        <f t="shared" si="0"/>
        <v>195535.82799999998</v>
      </c>
      <c r="L12" s="115">
        <f t="shared" si="0"/>
        <v>37000</v>
      </c>
      <c r="M12" s="115">
        <f t="shared" si="0"/>
        <v>1749199.9400000002</v>
      </c>
      <c r="N12" s="115">
        <f t="shared" si="0"/>
        <v>348.4</v>
      </c>
      <c r="O12" s="115">
        <f t="shared" si="0"/>
        <v>622282</v>
      </c>
      <c r="P12" s="115">
        <f t="shared" si="0"/>
        <v>129245.50666666667</v>
      </c>
      <c r="Q12" s="115">
        <f t="shared" si="0"/>
        <v>41858.5</v>
      </c>
    </row>
    <row r="19" spans="3:3" x14ac:dyDescent="0.25">
      <c r="C19" s="1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AX110"/>
  <sheetViews>
    <sheetView workbookViewId="0">
      <pane ySplit="1" topLeftCell="A41" activePane="bottomLeft" state="frozen"/>
      <selection activeCell="G128" sqref="G128"/>
      <selection pane="bottomLeft" activeCell="J63" sqref="J63"/>
    </sheetView>
  </sheetViews>
  <sheetFormatPr defaultColWidth="8.85546875" defaultRowHeight="12.75" x14ac:dyDescent="0.2"/>
  <cols>
    <col min="1" max="1" width="11.85546875" style="9" customWidth="1"/>
    <col min="2" max="2" width="8.85546875" style="9"/>
    <col min="3" max="4" width="9.42578125" style="9" bestFit="1" customWidth="1"/>
    <col min="5" max="8" width="10.42578125" style="9" bestFit="1" customWidth="1"/>
    <col min="9" max="27" width="8.85546875" style="9"/>
    <col min="28" max="28" width="12" style="9" bestFit="1" customWidth="1"/>
    <col min="29" max="16384" width="8.85546875" style="9"/>
  </cols>
  <sheetData>
    <row r="1" spans="1:47" x14ac:dyDescent="0.2">
      <c r="A1" s="9" t="s">
        <v>207</v>
      </c>
      <c r="P1" s="9" t="s">
        <v>208</v>
      </c>
      <c r="T1" s="9" t="s">
        <v>209</v>
      </c>
      <c r="X1" s="9" t="s">
        <v>210</v>
      </c>
      <c r="AB1" s="9" t="s">
        <v>211</v>
      </c>
      <c r="AL1" s="9" t="s">
        <v>212</v>
      </c>
      <c r="AQ1" s="9" t="s">
        <v>213</v>
      </c>
      <c r="AU1" s="9" t="s">
        <v>214</v>
      </c>
    </row>
    <row r="2" spans="1:47" x14ac:dyDescent="0.2">
      <c r="AL2" s="9">
        <v>2018</v>
      </c>
      <c r="AM2" s="9">
        <v>2019</v>
      </c>
      <c r="AN2" s="9">
        <v>2020</v>
      </c>
      <c r="AO2" s="9">
        <v>2021</v>
      </c>
      <c r="AQ2" s="9">
        <v>2018</v>
      </c>
      <c r="AR2" s="9">
        <v>2019</v>
      </c>
      <c r="AS2" s="9">
        <v>2020</v>
      </c>
      <c r="AT2" s="9">
        <v>2021</v>
      </c>
    </row>
    <row r="3" spans="1:47" x14ac:dyDescent="0.2">
      <c r="A3" s="10" t="s">
        <v>215</v>
      </c>
      <c r="B3" s="10">
        <v>2015</v>
      </c>
      <c r="C3" s="10">
        <v>2016</v>
      </c>
      <c r="D3" s="10">
        <v>2017</v>
      </c>
      <c r="E3" s="10">
        <v>2018</v>
      </c>
      <c r="F3" s="10">
        <v>2019</v>
      </c>
      <c r="G3" s="10">
        <v>2020</v>
      </c>
      <c r="H3" s="10">
        <v>2021</v>
      </c>
      <c r="P3" s="9">
        <v>2018</v>
      </c>
      <c r="Q3" s="9">
        <v>2019</v>
      </c>
      <c r="R3" s="9">
        <v>2020</v>
      </c>
      <c r="S3" s="9">
        <v>2021</v>
      </c>
      <c r="T3" s="9">
        <v>2018</v>
      </c>
      <c r="U3" s="9">
        <v>2019</v>
      </c>
      <c r="V3" s="9">
        <v>2020</v>
      </c>
      <c r="W3" s="9">
        <v>2021</v>
      </c>
      <c r="X3" s="9">
        <v>2018</v>
      </c>
      <c r="Y3" s="9">
        <v>2019</v>
      </c>
      <c r="Z3" s="9">
        <v>2020</v>
      </c>
      <c r="AA3" s="9">
        <v>2021</v>
      </c>
      <c r="AB3" s="9">
        <v>2018</v>
      </c>
      <c r="AC3" s="9">
        <v>2019</v>
      </c>
      <c r="AD3" s="9">
        <v>2020</v>
      </c>
      <c r="AE3" s="9">
        <v>2021</v>
      </c>
      <c r="AG3" s="9">
        <v>2018</v>
      </c>
      <c r="AH3" s="9">
        <v>2019</v>
      </c>
      <c r="AI3" s="9">
        <v>2020</v>
      </c>
      <c r="AJ3" s="9">
        <v>2021</v>
      </c>
    </row>
    <row r="4" spans="1:47" x14ac:dyDescent="0.2">
      <c r="A4" s="10">
        <v>1</v>
      </c>
      <c r="B4" s="10"/>
      <c r="C4" s="10"/>
      <c r="D4" s="11"/>
      <c r="E4" s="12">
        <v>4</v>
      </c>
      <c r="F4" s="12">
        <v>4</v>
      </c>
      <c r="G4" s="12">
        <v>4</v>
      </c>
      <c r="H4" s="12">
        <v>4</v>
      </c>
      <c r="P4" s="9">
        <f>E4*'[1]Sector and category'!$N8</f>
        <v>1.6607939803419351</v>
      </c>
      <c r="Q4" s="9">
        <f>F4*'[1]Sector and category'!$N8</f>
        <v>1.6607939803419351</v>
      </c>
      <c r="R4" s="9">
        <f>G4*'[1]Sector and category'!$N8</f>
        <v>1.6607939803419351</v>
      </c>
      <c r="S4" s="9">
        <f>H4*'[1]Sector and category'!$N8</f>
        <v>1.6607939803419351</v>
      </c>
      <c r="T4" s="9">
        <f>E4*'[1]Sector and category'!$O8</f>
        <v>1.9185624356404092</v>
      </c>
      <c r="U4" s="9">
        <f>F4*'[1]Sector and category'!$O8</f>
        <v>1.9185624356404092</v>
      </c>
      <c r="V4" s="9">
        <f>G4*'[1]Sector and category'!$O8</f>
        <v>1.9185624356404092</v>
      </c>
      <c r="W4" s="9">
        <f>H4*'[1]Sector and category'!$O8</f>
        <v>1.9185624356404092</v>
      </c>
      <c r="X4" s="9">
        <f>E4*'[1]Sector and category'!$P8</f>
        <v>0.34576885483330122</v>
      </c>
      <c r="Y4" s="9">
        <f>F4*'[1]Sector and category'!$P8</f>
        <v>0.34576885483330122</v>
      </c>
      <c r="Z4" s="9">
        <f>G4*'[1]Sector and category'!$P8</f>
        <v>0.34576885483330122</v>
      </c>
      <c r="AA4" s="9">
        <f>H4*'[1]Sector and category'!$P8</f>
        <v>0.34576885483330122</v>
      </c>
      <c r="AB4" s="9">
        <f>E4*'[1]Sector and category'!$Q8</f>
        <v>7.4874729184354408E-2</v>
      </c>
      <c r="AC4" s="9">
        <f>F4*'[1]Sector and category'!$Q8</f>
        <v>7.4874729184354408E-2</v>
      </c>
      <c r="AD4" s="9">
        <f>G4*'[1]Sector and category'!$Q8</f>
        <v>7.4874729184354408E-2</v>
      </c>
      <c r="AE4" s="9">
        <f>H4*'[1]Sector and category'!$Q8</f>
        <v>7.4874729184354408E-2</v>
      </c>
      <c r="AF4" s="9" t="str">
        <f>IF(AG4=E4,"OK","not")</f>
        <v>OK</v>
      </c>
      <c r="AG4" s="13">
        <f>P4+T4+X4+AB4+AL4+AQ4+AU4</f>
        <v>4</v>
      </c>
      <c r="AH4" s="13">
        <f t="shared" ref="AH4:AJ19" si="0">Q4+U4+Y4+AC4+AM4+AR4+AV4</f>
        <v>4</v>
      </c>
      <c r="AI4" s="13">
        <f t="shared" si="0"/>
        <v>4</v>
      </c>
      <c r="AJ4" s="13">
        <f t="shared" si="0"/>
        <v>4</v>
      </c>
    </row>
    <row r="5" spans="1:47" x14ac:dyDescent="0.2">
      <c r="A5" s="10">
        <v>2</v>
      </c>
      <c r="B5" s="11"/>
      <c r="C5" s="11"/>
      <c r="D5" s="11"/>
      <c r="E5" s="11"/>
      <c r="F5" s="11"/>
      <c r="G5" s="11"/>
      <c r="H5" s="11"/>
      <c r="P5" s="9">
        <f>E5*'[1]Sector and category'!$N9</f>
        <v>0</v>
      </c>
      <c r="T5" s="9">
        <f>E5*'[1]Sector and category'!$O9</f>
        <v>0</v>
      </c>
      <c r="X5" s="9">
        <f>E5*'[1]Sector and category'!$P9</f>
        <v>0</v>
      </c>
      <c r="AF5" s="9" t="str">
        <f t="shared" ref="AF5:AF68" si="1">IF(AG5=E5,"OK","not")</f>
        <v>OK</v>
      </c>
      <c r="AG5" s="13">
        <f t="shared" ref="AG5:AJ70" si="2">P5+T5+X5+AB5+AL5+AQ5+AU5</f>
        <v>0</v>
      </c>
      <c r="AH5" s="13">
        <f t="shared" si="0"/>
        <v>0</v>
      </c>
      <c r="AI5" s="13">
        <f t="shared" si="0"/>
        <v>0</v>
      </c>
      <c r="AJ5" s="13">
        <f t="shared" si="0"/>
        <v>0</v>
      </c>
    </row>
    <row r="6" spans="1:47" x14ac:dyDescent="0.2">
      <c r="A6" s="10">
        <v>3</v>
      </c>
      <c r="B6" s="14"/>
      <c r="C6" s="11"/>
      <c r="D6" s="11"/>
      <c r="E6" s="12">
        <v>0.6</v>
      </c>
      <c r="F6" s="12"/>
      <c r="G6" s="12"/>
      <c r="H6" s="12"/>
      <c r="P6" s="9">
        <f>E6*'[1]Sector and category'!$N8</f>
        <v>0.24911909705129026</v>
      </c>
      <c r="Q6" s="9">
        <f>F6*'[1]Sector and category'!$N8</f>
        <v>0</v>
      </c>
      <c r="R6" s="9">
        <f>G6*'[1]Sector and category'!$N8</f>
        <v>0</v>
      </c>
      <c r="S6" s="9">
        <f>H6*'[1]Sector and category'!$N8</f>
        <v>0</v>
      </c>
      <c r="T6" s="9">
        <f>E6*'[1]Sector and category'!$O8</f>
        <v>0.28778436534606139</v>
      </c>
      <c r="U6" s="9">
        <f>F6*'[1]Sector and category'!$O8</f>
        <v>0</v>
      </c>
      <c r="V6" s="9">
        <f>G6*'[1]Sector and category'!$O8</f>
        <v>0</v>
      </c>
      <c r="W6" s="9">
        <f>H6*'[1]Sector and category'!$O8</f>
        <v>0</v>
      </c>
      <c r="X6" s="9">
        <f>E6*'[1]Sector and category'!$P8</f>
        <v>5.1865328224995184E-2</v>
      </c>
      <c r="Y6" s="9">
        <f>F6*'[1]Sector and category'!$P8</f>
        <v>0</v>
      </c>
      <c r="Z6" s="9">
        <f>G6*'[1]Sector and category'!$P8</f>
        <v>0</v>
      </c>
      <c r="AA6" s="9">
        <f>H6*'[1]Sector and category'!$P8</f>
        <v>0</v>
      </c>
      <c r="AB6" s="9">
        <f>E6*'[1]Sector and category'!$Q8</f>
        <v>1.1231209377653161E-2</v>
      </c>
      <c r="AC6" s="9">
        <f>F6*'[1]Sector and category'!$Q8</f>
        <v>0</v>
      </c>
      <c r="AD6" s="9">
        <f>G6*'[1]Sector and category'!$Q8</f>
        <v>0</v>
      </c>
      <c r="AE6" s="9">
        <f>H6*'[1]Sector and category'!$Q8</f>
        <v>0</v>
      </c>
      <c r="AF6" s="9" t="str">
        <f t="shared" si="1"/>
        <v>OK</v>
      </c>
      <c r="AG6" s="13">
        <f t="shared" si="2"/>
        <v>0.60000000000000009</v>
      </c>
      <c r="AH6" s="13">
        <f t="shared" si="0"/>
        <v>0</v>
      </c>
      <c r="AI6" s="13">
        <f t="shared" si="0"/>
        <v>0</v>
      </c>
      <c r="AJ6" s="13">
        <f t="shared" si="0"/>
        <v>0</v>
      </c>
    </row>
    <row r="7" spans="1:47" x14ac:dyDescent="0.2">
      <c r="A7" s="10">
        <v>4</v>
      </c>
      <c r="B7" s="10"/>
      <c r="C7" s="15"/>
      <c r="D7" s="10"/>
      <c r="E7" s="16">
        <v>0.6</v>
      </c>
      <c r="F7" s="16"/>
      <c r="G7" s="16"/>
      <c r="H7" s="16"/>
      <c r="P7" s="9">
        <f>E7*'[1]Sector and category'!$N8</f>
        <v>0.24911909705129026</v>
      </c>
      <c r="Q7" s="9">
        <f>F7*'[1]Sector and category'!$N8</f>
        <v>0</v>
      </c>
      <c r="R7" s="9">
        <f>G7*'[1]Sector and category'!$N8</f>
        <v>0</v>
      </c>
      <c r="S7" s="9">
        <f>H7*'[1]Sector and category'!$N8</f>
        <v>0</v>
      </c>
      <c r="T7" s="9">
        <f>E7*'[1]Sector and category'!$O8</f>
        <v>0.28778436534606139</v>
      </c>
      <c r="U7" s="9">
        <f>F7*'[1]Sector and category'!$O8</f>
        <v>0</v>
      </c>
      <c r="V7" s="9">
        <f>G7*'[1]Sector and category'!$O8</f>
        <v>0</v>
      </c>
      <c r="W7" s="9">
        <f>H7*'[1]Sector and category'!$O8</f>
        <v>0</v>
      </c>
      <c r="X7" s="9">
        <f>E7*'[1]Sector and category'!$P8</f>
        <v>5.1865328224995184E-2</v>
      </c>
      <c r="Y7" s="9">
        <f>F7*'[1]Sector and category'!$P8</f>
        <v>0</v>
      </c>
      <c r="Z7" s="9">
        <f>G7*'[1]Sector and category'!$P8</f>
        <v>0</v>
      </c>
      <c r="AA7" s="9">
        <f>H7*'[1]Sector and category'!$P8</f>
        <v>0</v>
      </c>
      <c r="AB7" s="9">
        <f>E7*'[1]Sector and category'!$Q8</f>
        <v>1.1231209377653161E-2</v>
      </c>
      <c r="AC7" s="9">
        <f>F7*'[1]Sector and category'!$Q8</f>
        <v>0</v>
      </c>
      <c r="AD7" s="9">
        <f>G7*'[1]Sector and category'!$Q8</f>
        <v>0</v>
      </c>
      <c r="AE7" s="9">
        <f>H7*'[1]Sector and category'!$Q8</f>
        <v>0</v>
      </c>
      <c r="AF7" s="9" t="str">
        <f t="shared" si="1"/>
        <v>OK</v>
      </c>
      <c r="AG7" s="13">
        <f t="shared" si="2"/>
        <v>0.60000000000000009</v>
      </c>
      <c r="AH7" s="13">
        <f t="shared" si="0"/>
        <v>0</v>
      </c>
      <c r="AI7" s="13">
        <f t="shared" si="0"/>
        <v>0</v>
      </c>
      <c r="AJ7" s="13">
        <f t="shared" si="0"/>
        <v>0</v>
      </c>
    </row>
    <row r="8" spans="1:47" x14ac:dyDescent="0.2">
      <c r="A8" s="10">
        <v>5</v>
      </c>
      <c r="B8" s="15"/>
      <c r="C8" s="15"/>
      <c r="D8" s="15"/>
      <c r="E8" s="17">
        <v>0.6</v>
      </c>
      <c r="F8" s="17"/>
      <c r="G8" s="17"/>
      <c r="H8" s="17"/>
      <c r="P8" s="9">
        <f>E8*'[1]Sector and category'!$N8</f>
        <v>0.24911909705129026</v>
      </c>
      <c r="Q8" s="9">
        <f>F8*'[1]Sector and category'!$N8</f>
        <v>0</v>
      </c>
      <c r="R8" s="9">
        <f>G8*'[1]Sector and category'!$N8</f>
        <v>0</v>
      </c>
      <c r="S8" s="9">
        <f>H8*'[1]Sector and category'!$N8</f>
        <v>0</v>
      </c>
      <c r="T8" s="9">
        <f>E8*'[1]Sector and category'!$O8</f>
        <v>0.28778436534606139</v>
      </c>
      <c r="U8" s="9">
        <f>F8*'[1]Sector and category'!$O8</f>
        <v>0</v>
      </c>
      <c r="V8" s="9">
        <f>G8*'[1]Sector and category'!$O8</f>
        <v>0</v>
      </c>
      <c r="W8" s="9">
        <f>H8*'[1]Sector and category'!$O8</f>
        <v>0</v>
      </c>
      <c r="X8" s="9">
        <f>E8*'[1]Sector and category'!$P8</f>
        <v>5.1865328224995184E-2</v>
      </c>
      <c r="Y8" s="9">
        <f>F8*'[1]Sector and category'!$P8</f>
        <v>0</v>
      </c>
      <c r="Z8" s="9">
        <f>G8*'[1]Sector and category'!$P8</f>
        <v>0</v>
      </c>
      <c r="AA8" s="9">
        <f>H8*'[1]Sector and category'!$P8</f>
        <v>0</v>
      </c>
      <c r="AB8" s="9">
        <f>E8*'[1]Sector and category'!$Q8</f>
        <v>1.1231209377653161E-2</v>
      </c>
      <c r="AC8" s="9">
        <f>F8*'[1]Sector and category'!$Q8</f>
        <v>0</v>
      </c>
      <c r="AD8" s="9">
        <f>G8*'[1]Sector and category'!$Q8</f>
        <v>0</v>
      </c>
      <c r="AE8" s="9">
        <f>H8*'[1]Sector and category'!$Q8</f>
        <v>0</v>
      </c>
      <c r="AF8" s="9" t="str">
        <f t="shared" si="1"/>
        <v>OK</v>
      </c>
      <c r="AG8" s="13">
        <f t="shared" si="2"/>
        <v>0.60000000000000009</v>
      </c>
      <c r="AH8" s="13">
        <f t="shared" si="0"/>
        <v>0</v>
      </c>
      <c r="AI8" s="13">
        <f t="shared" si="0"/>
        <v>0</v>
      </c>
      <c r="AJ8" s="13">
        <f t="shared" si="0"/>
        <v>0</v>
      </c>
    </row>
    <row r="9" spans="1:47" x14ac:dyDescent="0.2">
      <c r="A9" s="10">
        <v>6</v>
      </c>
      <c r="B9" s="15"/>
      <c r="C9" s="15"/>
      <c r="D9" s="15"/>
      <c r="E9" s="12">
        <v>0.7</v>
      </c>
      <c r="F9" s="12"/>
      <c r="G9" s="12"/>
      <c r="H9" s="12"/>
      <c r="P9" s="9">
        <f>E9*0.15</f>
        <v>0.105</v>
      </c>
      <c r="Q9" s="9">
        <f>F9*0.15</f>
        <v>0</v>
      </c>
      <c r="R9" s="9">
        <f>G9*0.15</f>
        <v>0</v>
      </c>
      <c r="S9" s="9">
        <f>H9*0.15</f>
        <v>0</v>
      </c>
      <c r="T9" s="9">
        <f>E9*0.4</f>
        <v>0.27999999999999997</v>
      </c>
      <c r="U9" s="9">
        <f>F9*0.4</f>
        <v>0</v>
      </c>
      <c r="V9" s="9">
        <f>G9*0.4</f>
        <v>0</v>
      </c>
      <c r="W9" s="9">
        <f>H9*0.4</f>
        <v>0</v>
      </c>
      <c r="X9" s="9">
        <f>E9*0.4</f>
        <v>0.27999999999999997</v>
      </c>
      <c r="Y9" s="9">
        <f>F9*0.4</f>
        <v>0</v>
      </c>
      <c r="Z9" s="9">
        <f>G9*0.4</f>
        <v>0</v>
      </c>
      <c r="AA9" s="9">
        <f>H9*0.4</f>
        <v>0</v>
      </c>
      <c r="AB9" s="9">
        <f>E9*0.05</f>
        <v>3.4999999999999996E-2</v>
      </c>
      <c r="AC9" s="9">
        <f>F9*0.05</f>
        <v>0</v>
      </c>
      <c r="AD9" s="9">
        <f>G9*0.05</f>
        <v>0</v>
      </c>
      <c r="AE9" s="9">
        <f>H9*0.05</f>
        <v>0</v>
      </c>
      <c r="AF9" s="9" t="str">
        <f t="shared" si="1"/>
        <v>OK</v>
      </c>
      <c r="AG9" s="13">
        <f t="shared" si="2"/>
        <v>0.7</v>
      </c>
      <c r="AH9" s="13">
        <f t="shared" si="0"/>
        <v>0</v>
      </c>
      <c r="AI9" s="13">
        <f t="shared" si="0"/>
        <v>0</v>
      </c>
      <c r="AJ9" s="13">
        <f t="shared" si="0"/>
        <v>0</v>
      </c>
    </row>
    <row r="10" spans="1:47" x14ac:dyDescent="0.2">
      <c r="A10" s="10">
        <v>7</v>
      </c>
      <c r="B10" s="10"/>
      <c r="C10" s="15"/>
      <c r="D10" s="15"/>
      <c r="E10" s="18"/>
      <c r="F10" s="18"/>
      <c r="G10" s="18"/>
      <c r="H10" s="18"/>
      <c r="T10" s="9">
        <f>E10*'[1]Sector and category'!$O12</f>
        <v>0</v>
      </c>
      <c r="U10" s="9">
        <f>F10*'[1]Sector and category'!$O12</f>
        <v>0</v>
      </c>
      <c r="V10" s="9">
        <f>G10*'[1]Sector and category'!$O12</f>
        <v>0</v>
      </c>
      <c r="W10" s="9">
        <f>H10*'[1]Sector and category'!$O12</f>
        <v>0</v>
      </c>
      <c r="X10" s="9">
        <f>E10*'[1]Sector and category'!$P12</f>
        <v>0</v>
      </c>
      <c r="Y10" s="9">
        <f>F10*'[1]Sector and category'!$P12</f>
        <v>0</v>
      </c>
      <c r="Z10" s="9">
        <f>G10*'[1]Sector and category'!$P12</f>
        <v>0</v>
      </c>
      <c r="AA10" s="9">
        <f>H10*'[1]Sector and category'!$P12</f>
        <v>0</v>
      </c>
      <c r="AF10" s="9" t="str">
        <f t="shared" si="1"/>
        <v>OK</v>
      </c>
      <c r="AG10" s="13">
        <f t="shared" si="2"/>
        <v>0</v>
      </c>
      <c r="AH10" s="13">
        <f t="shared" si="0"/>
        <v>0</v>
      </c>
      <c r="AI10" s="13">
        <f t="shared" si="0"/>
        <v>0</v>
      </c>
      <c r="AJ10" s="13">
        <f t="shared" si="0"/>
        <v>0</v>
      </c>
    </row>
    <row r="11" spans="1:47" x14ac:dyDescent="0.2">
      <c r="A11" s="10">
        <v>8</v>
      </c>
      <c r="B11" s="15"/>
      <c r="C11" s="15"/>
      <c r="D11" s="15"/>
      <c r="E11" s="18"/>
      <c r="F11" s="18"/>
      <c r="G11" s="18"/>
      <c r="H11" s="18"/>
      <c r="P11" s="9">
        <f>E11*'[1]Sector and category'!$N8</f>
        <v>0</v>
      </c>
      <c r="Q11" s="9">
        <f>F11*'[1]Sector and category'!$N8</f>
        <v>0</v>
      </c>
      <c r="R11" s="9">
        <f>G11*'[1]Sector and category'!$N8</f>
        <v>0</v>
      </c>
      <c r="S11" s="9">
        <f>H11*'[1]Sector and category'!$N8</f>
        <v>0</v>
      </c>
      <c r="T11" s="9">
        <f>E11*'[1]Sector and category'!$O8</f>
        <v>0</v>
      </c>
      <c r="U11" s="9">
        <f>F11*'[1]Sector and category'!$O8</f>
        <v>0</v>
      </c>
      <c r="V11" s="9">
        <f>G11*'[1]Sector and category'!$O8</f>
        <v>0</v>
      </c>
      <c r="W11" s="9">
        <f>H11*'[1]Sector and category'!$O8</f>
        <v>0</v>
      </c>
      <c r="X11" s="9">
        <f>E11*'[1]Sector and category'!$P8</f>
        <v>0</v>
      </c>
      <c r="Y11" s="9">
        <f>F11*'[1]Sector and category'!$P8</f>
        <v>0</v>
      </c>
      <c r="Z11" s="9">
        <f>G11*'[1]Sector and category'!$P8</f>
        <v>0</v>
      </c>
      <c r="AA11" s="9">
        <f>H11*'[1]Sector and category'!$P8</f>
        <v>0</v>
      </c>
      <c r="AB11" s="9">
        <f>E11*'[1]Sector and category'!$Q8</f>
        <v>0</v>
      </c>
      <c r="AC11" s="9">
        <f>F11*'[1]Sector and category'!$Q8</f>
        <v>0</v>
      </c>
      <c r="AD11" s="9">
        <f>G11*'[1]Sector and category'!$Q8</f>
        <v>0</v>
      </c>
      <c r="AE11" s="9">
        <f>H11*'[1]Sector and category'!$Q8</f>
        <v>0</v>
      </c>
      <c r="AF11" s="9" t="str">
        <f t="shared" si="1"/>
        <v>OK</v>
      </c>
      <c r="AG11" s="13">
        <f t="shared" si="2"/>
        <v>0</v>
      </c>
      <c r="AH11" s="13">
        <f t="shared" si="0"/>
        <v>0</v>
      </c>
      <c r="AI11" s="13">
        <f t="shared" si="0"/>
        <v>0</v>
      </c>
      <c r="AJ11" s="13">
        <f t="shared" si="0"/>
        <v>0</v>
      </c>
    </row>
    <row r="12" spans="1:47" x14ac:dyDescent="0.2">
      <c r="A12" s="10">
        <v>9</v>
      </c>
      <c r="B12" s="15"/>
      <c r="C12" s="15"/>
      <c r="D12" s="15"/>
      <c r="E12" s="18"/>
      <c r="F12" s="18"/>
      <c r="G12" s="18"/>
      <c r="H12" s="18"/>
      <c r="T12" s="9">
        <f>E12*'[1]Sector and category'!$O12</f>
        <v>0</v>
      </c>
      <c r="U12" s="9">
        <f>F12*'[1]Sector and category'!$O12</f>
        <v>0</v>
      </c>
      <c r="V12" s="9">
        <f>G12*'[1]Sector and category'!$O12</f>
        <v>0</v>
      </c>
      <c r="W12" s="9">
        <f>H12*'[1]Sector and category'!$O12</f>
        <v>0</v>
      </c>
      <c r="X12" s="9">
        <f>E12*'[1]Sector and category'!$P12</f>
        <v>0</v>
      </c>
      <c r="Y12" s="9">
        <f>F12*'[1]Sector and category'!$P12</f>
        <v>0</v>
      </c>
      <c r="Z12" s="9">
        <f>G12*'[1]Sector and category'!$P12</f>
        <v>0</v>
      </c>
      <c r="AA12" s="9">
        <f>H12*'[1]Sector and category'!$P12</f>
        <v>0</v>
      </c>
      <c r="AF12" s="9" t="str">
        <f t="shared" si="1"/>
        <v>OK</v>
      </c>
      <c r="AG12" s="13">
        <f t="shared" si="2"/>
        <v>0</v>
      </c>
      <c r="AH12" s="13">
        <f t="shared" si="0"/>
        <v>0</v>
      </c>
      <c r="AI12" s="13">
        <f t="shared" si="0"/>
        <v>0</v>
      </c>
      <c r="AJ12" s="13">
        <f t="shared" si="0"/>
        <v>0</v>
      </c>
    </row>
    <row r="13" spans="1:47" x14ac:dyDescent="0.2">
      <c r="A13" s="10">
        <v>10</v>
      </c>
      <c r="B13" s="15"/>
      <c r="C13" s="15"/>
      <c r="D13" s="15"/>
      <c r="E13" s="18"/>
      <c r="F13" s="18"/>
      <c r="G13" s="18"/>
      <c r="H13" s="18"/>
      <c r="P13" s="9">
        <f>E13*'[1]Sector and category'!$N8</f>
        <v>0</v>
      </c>
      <c r="Q13" s="9">
        <f>F13*'[1]Sector and category'!$N8</f>
        <v>0</v>
      </c>
      <c r="R13" s="9">
        <f>G13*'[1]Sector and category'!$N8</f>
        <v>0</v>
      </c>
      <c r="S13" s="9">
        <f>H13*'[1]Sector and category'!$N8</f>
        <v>0</v>
      </c>
      <c r="T13" s="9">
        <f>E13*'[1]Sector and category'!$O8</f>
        <v>0</v>
      </c>
      <c r="U13" s="9">
        <f>F13*'[1]Sector and category'!$O8</f>
        <v>0</v>
      </c>
      <c r="V13" s="9">
        <f>G13*'[1]Sector and category'!$O8</f>
        <v>0</v>
      </c>
      <c r="W13" s="9">
        <f>H13*'[1]Sector and category'!$O8</f>
        <v>0</v>
      </c>
      <c r="X13" s="9">
        <f>E13*'[1]Sector and category'!$P8</f>
        <v>0</v>
      </c>
      <c r="Y13" s="9">
        <f>F13*'[1]Sector and category'!$P8</f>
        <v>0</v>
      </c>
      <c r="Z13" s="9">
        <f>G13*'[1]Sector and category'!$P8</f>
        <v>0</v>
      </c>
      <c r="AA13" s="9">
        <f>H13*'[1]Sector and category'!$P8</f>
        <v>0</v>
      </c>
      <c r="AB13" s="9">
        <f>E13*'[1]Sector and category'!$Q8</f>
        <v>0</v>
      </c>
      <c r="AC13" s="9">
        <f>F13*'[1]Sector and category'!$Q8</f>
        <v>0</v>
      </c>
      <c r="AD13" s="9">
        <f>G13*'[1]Sector and category'!$Q8</f>
        <v>0</v>
      </c>
      <c r="AE13" s="9">
        <f>H13*'[1]Sector and category'!$Q8</f>
        <v>0</v>
      </c>
      <c r="AF13" s="9" t="str">
        <f t="shared" si="1"/>
        <v>OK</v>
      </c>
      <c r="AG13" s="13">
        <f t="shared" si="2"/>
        <v>0</v>
      </c>
      <c r="AH13" s="13">
        <f t="shared" si="0"/>
        <v>0</v>
      </c>
      <c r="AI13" s="13">
        <f t="shared" si="0"/>
        <v>0</v>
      </c>
      <c r="AJ13" s="13">
        <f t="shared" si="0"/>
        <v>0</v>
      </c>
    </row>
    <row r="14" spans="1:47" x14ac:dyDescent="0.2">
      <c r="A14" s="10">
        <v>11</v>
      </c>
      <c r="B14" s="15"/>
      <c r="C14" s="15"/>
      <c r="D14" s="15"/>
      <c r="E14" s="18"/>
      <c r="F14" s="18"/>
      <c r="G14" s="18"/>
      <c r="H14" s="18"/>
      <c r="P14" s="9">
        <f>E14*'[1]Sector and category'!$N8</f>
        <v>0</v>
      </c>
      <c r="Q14" s="9">
        <f>F14*'[1]Sector and category'!$N8</f>
        <v>0</v>
      </c>
      <c r="R14" s="9">
        <f>G14*'[1]Sector and category'!$N8</f>
        <v>0</v>
      </c>
      <c r="S14" s="9">
        <f>H14*'[1]Sector and category'!$N8</f>
        <v>0</v>
      </c>
      <c r="T14" s="9">
        <f>E14*'[1]Sector and category'!$O8</f>
        <v>0</v>
      </c>
      <c r="U14" s="9">
        <f>F14*'[1]Sector and category'!$O8</f>
        <v>0</v>
      </c>
      <c r="V14" s="9">
        <f>G14*'[1]Sector and category'!$O8</f>
        <v>0</v>
      </c>
      <c r="W14" s="9">
        <f>H14*'[1]Sector and category'!$O8</f>
        <v>0</v>
      </c>
      <c r="X14" s="9">
        <f>E14*'[1]Sector and category'!$P8</f>
        <v>0</v>
      </c>
      <c r="Y14" s="9">
        <f>F14*'[1]Sector and category'!$P8</f>
        <v>0</v>
      </c>
      <c r="Z14" s="9">
        <f>G14*'[1]Sector and category'!$P8</f>
        <v>0</v>
      </c>
      <c r="AA14" s="9">
        <f>H14*'[1]Sector and category'!$P8</f>
        <v>0</v>
      </c>
      <c r="AB14" s="9">
        <f>E14*'[1]Sector and category'!$Q8</f>
        <v>0</v>
      </c>
      <c r="AC14" s="9">
        <f>F14*'[1]Sector and category'!$Q8</f>
        <v>0</v>
      </c>
      <c r="AD14" s="9">
        <f>G14*'[1]Sector and category'!$Q8</f>
        <v>0</v>
      </c>
      <c r="AE14" s="9">
        <f>H14*'[1]Sector and category'!$Q8</f>
        <v>0</v>
      </c>
      <c r="AF14" s="9" t="str">
        <f t="shared" si="1"/>
        <v>OK</v>
      </c>
      <c r="AG14" s="13">
        <f t="shared" si="2"/>
        <v>0</v>
      </c>
      <c r="AH14" s="13">
        <f t="shared" si="0"/>
        <v>0</v>
      </c>
      <c r="AI14" s="13">
        <f t="shared" si="0"/>
        <v>0</v>
      </c>
      <c r="AJ14" s="13">
        <f t="shared" si="0"/>
        <v>0</v>
      </c>
    </row>
    <row r="15" spans="1:47" x14ac:dyDescent="0.2">
      <c r="A15" s="10">
        <v>12</v>
      </c>
      <c r="B15" s="15"/>
      <c r="C15" s="15"/>
      <c r="D15" s="15"/>
      <c r="E15" s="19"/>
      <c r="F15" s="19"/>
      <c r="G15" s="19"/>
      <c r="H15" s="19"/>
      <c r="T15" s="9">
        <f>E15</f>
        <v>0</v>
      </c>
      <c r="U15" s="9">
        <f>F15</f>
        <v>0</v>
      </c>
      <c r="V15" s="9">
        <f>G15</f>
        <v>0</v>
      </c>
      <c r="W15" s="9">
        <f>H15</f>
        <v>0</v>
      </c>
      <c r="AF15" s="9" t="str">
        <f t="shared" si="1"/>
        <v>OK</v>
      </c>
      <c r="AG15" s="13">
        <f t="shared" si="2"/>
        <v>0</v>
      </c>
      <c r="AH15" s="13">
        <f t="shared" si="0"/>
        <v>0</v>
      </c>
      <c r="AI15" s="13">
        <f t="shared" si="0"/>
        <v>0</v>
      </c>
      <c r="AJ15" s="13">
        <f t="shared" si="0"/>
        <v>0</v>
      </c>
    </row>
    <row r="16" spans="1:47" x14ac:dyDescent="0.2">
      <c r="A16" s="10">
        <v>13</v>
      </c>
      <c r="B16" s="15"/>
      <c r="C16" s="15"/>
      <c r="D16" s="15"/>
      <c r="E16" s="18"/>
      <c r="F16" s="18"/>
      <c r="G16" s="18"/>
      <c r="H16" s="18"/>
      <c r="T16" s="9">
        <f>E16*'[1]Sector and category'!$O12</f>
        <v>0</v>
      </c>
      <c r="U16" s="9">
        <f>F16*'[1]Sector and category'!$O12</f>
        <v>0</v>
      </c>
      <c r="V16" s="9">
        <f>G16*'[1]Sector and category'!$O12</f>
        <v>0</v>
      </c>
      <c r="W16" s="9">
        <f>H16*'[1]Sector and category'!$O12</f>
        <v>0</v>
      </c>
      <c r="X16" s="9">
        <f>E16*'[1]Sector and category'!$P12</f>
        <v>0</v>
      </c>
      <c r="Y16" s="9">
        <f>F16*'[1]Sector and category'!$P12</f>
        <v>0</v>
      </c>
      <c r="Z16" s="9">
        <f>G16*'[1]Sector and category'!$P12</f>
        <v>0</v>
      </c>
      <c r="AA16" s="9">
        <f>H16*'[1]Sector and category'!$P12</f>
        <v>0</v>
      </c>
      <c r="AF16" s="9" t="str">
        <f t="shared" si="1"/>
        <v>OK</v>
      </c>
      <c r="AG16" s="13">
        <f t="shared" si="2"/>
        <v>0</v>
      </c>
      <c r="AH16" s="13">
        <f t="shared" si="0"/>
        <v>0</v>
      </c>
      <c r="AI16" s="13">
        <f t="shared" si="0"/>
        <v>0</v>
      </c>
      <c r="AJ16" s="13">
        <f t="shared" si="0"/>
        <v>0</v>
      </c>
    </row>
    <row r="17" spans="1:41" x14ac:dyDescent="0.2">
      <c r="A17" s="10">
        <v>14</v>
      </c>
      <c r="B17" s="10"/>
      <c r="C17" s="10"/>
      <c r="D17" s="15"/>
      <c r="E17" s="15"/>
      <c r="F17" s="15"/>
      <c r="G17" s="15"/>
      <c r="H17" s="15"/>
      <c r="P17" s="9">
        <f>E17*'[1]Sector and category'!$N8</f>
        <v>0</v>
      </c>
      <c r="Q17" s="9">
        <f>F17*'[1]Sector and category'!$N8</f>
        <v>0</v>
      </c>
      <c r="R17" s="9">
        <f>G17*'[1]Sector and category'!$N8</f>
        <v>0</v>
      </c>
      <c r="S17" s="9">
        <f>H17*'[1]Sector and category'!$N8</f>
        <v>0</v>
      </c>
      <c r="T17" s="9">
        <f>E17*'[1]Sector and category'!$O8</f>
        <v>0</v>
      </c>
      <c r="U17" s="9">
        <f>F17*'[1]Sector and category'!$O8</f>
        <v>0</v>
      </c>
      <c r="V17" s="9">
        <f>G17*'[1]Sector and category'!$O8</f>
        <v>0</v>
      </c>
      <c r="W17" s="9">
        <f>H17*'[1]Sector and category'!$O8</f>
        <v>0</v>
      </c>
      <c r="X17" s="9">
        <f>E17*'[1]Sector and category'!$P8</f>
        <v>0</v>
      </c>
      <c r="Y17" s="9">
        <f>F17*'[1]Sector and category'!$P8</f>
        <v>0</v>
      </c>
      <c r="Z17" s="9">
        <f>G17*'[1]Sector and category'!$P8</f>
        <v>0</v>
      </c>
      <c r="AA17" s="9">
        <f>H17*'[1]Sector and category'!$P8</f>
        <v>0</v>
      </c>
      <c r="AB17" s="9">
        <f>E17*'[1]Sector and category'!$Q8</f>
        <v>0</v>
      </c>
      <c r="AC17" s="9">
        <f>F17*'[1]Sector and category'!$Q8</f>
        <v>0</v>
      </c>
      <c r="AD17" s="9">
        <f>G17*'[1]Sector and category'!$Q8</f>
        <v>0</v>
      </c>
      <c r="AE17" s="9">
        <f>H17*'[1]Sector and category'!$Q8</f>
        <v>0</v>
      </c>
      <c r="AF17" s="9" t="str">
        <f t="shared" si="1"/>
        <v>OK</v>
      </c>
      <c r="AG17" s="13">
        <f t="shared" si="2"/>
        <v>0</v>
      </c>
      <c r="AH17" s="13">
        <f t="shared" si="0"/>
        <v>0</v>
      </c>
      <c r="AI17" s="13">
        <f t="shared" si="0"/>
        <v>0</v>
      </c>
      <c r="AJ17" s="13">
        <f t="shared" si="0"/>
        <v>0</v>
      </c>
    </row>
    <row r="18" spans="1:41" x14ac:dyDescent="0.2">
      <c r="A18" s="10">
        <v>66</v>
      </c>
      <c r="B18" s="10"/>
      <c r="C18" s="10"/>
      <c r="D18" s="15"/>
      <c r="E18" s="19"/>
      <c r="F18" s="19"/>
      <c r="G18" s="19"/>
      <c r="H18" s="19"/>
      <c r="AG18" s="13"/>
      <c r="AH18" s="13"/>
      <c r="AI18" s="13"/>
      <c r="AJ18" s="13"/>
    </row>
    <row r="19" spans="1:41" s="22" customFormat="1" x14ac:dyDescent="0.2">
      <c r="A19" s="20"/>
      <c r="B19" s="21">
        <f>SUM(B4:B18)</f>
        <v>0</v>
      </c>
      <c r="C19" s="21">
        <f t="shared" ref="C19:H19" si="3">SUM(C4:C18)</f>
        <v>0</v>
      </c>
      <c r="D19" s="21">
        <f t="shared" si="3"/>
        <v>0</v>
      </c>
      <c r="E19" s="21">
        <f t="shared" si="3"/>
        <v>6.4999999999999991</v>
      </c>
      <c r="F19" s="21">
        <f t="shared" si="3"/>
        <v>4</v>
      </c>
      <c r="G19" s="21">
        <f t="shared" si="3"/>
        <v>4</v>
      </c>
      <c r="H19" s="21">
        <f t="shared" si="3"/>
        <v>4</v>
      </c>
      <c r="P19" s="9"/>
      <c r="AF19" s="9" t="str">
        <f t="shared" si="1"/>
        <v>not</v>
      </c>
      <c r="AG19" s="13">
        <f t="shared" si="2"/>
        <v>0</v>
      </c>
      <c r="AH19" s="13">
        <f t="shared" si="0"/>
        <v>0</v>
      </c>
      <c r="AI19" s="13">
        <f t="shared" si="0"/>
        <v>0</v>
      </c>
      <c r="AJ19" s="13">
        <f t="shared" si="0"/>
        <v>0</v>
      </c>
    </row>
    <row r="20" spans="1:41" x14ac:dyDescent="0.2">
      <c r="A20" s="10">
        <v>15</v>
      </c>
      <c r="B20" s="10"/>
      <c r="C20" s="10"/>
      <c r="D20" s="10"/>
      <c r="E20" s="16">
        <v>7.4999999999999997E-2</v>
      </c>
      <c r="F20" s="16"/>
      <c r="G20" s="16"/>
      <c r="H20" s="16"/>
      <c r="AF20" s="9" t="str">
        <f t="shared" si="1"/>
        <v>OK</v>
      </c>
      <c r="AG20" s="13">
        <f t="shared" si="2"/>
        <v>7.4999999999999997E-2</v>
      </c>
      <c r="AH20" s="13">
        <f t="shared" si="2"/>
        <v>0</v>
      </c>
      <c r="AI20" s="13">
        <f t="shared" si="2"/>
        <v>0</v>
      </c>
      <c r="AJ20" s="13">
        <f t="shared" si="2"/>
        <v>0</v>
      </c>
      <c r="AL20" s="17">
        <f>E20</f>
        <v>7.4999999999999997E-2</v>
      </c>
      <c r="AM20" s="17">
        <f t="shared" ref="AM20:AO24" si="4">F20</f>
        <v>0</v>
      </c>
      <c r="AN20" s="17">
        <f t="shared" si="4"/>
        <v>0</v>
      </c>
      <c r="AO20" s="17">
        <f t="shared" si="4"/>
        <v>0</v>
      </c>
    </row>
    <row r="21" spans="1:41" x14ac:dyDescent="0.2">
      <c r="A21" s="10">
        <v>16</v>
      </c>
      <c r="B21" s="15"/>
      <c r="C21" s="15"/>
      <c r="D21" s="15"/>
      <c r="E21" s="18"/>
      <c r="F21" s="18"/>
      <c r="G21" s="18"/>
      <c r="H21" s="18"/>
      <c r="AF21" s="9" t="str">
        <f t="shared" si="1"/>
        <v>OK</v>
      </c>
      <c r="AG21" s="13">
        <f t="shared" si="2"/>
        <v>0</v>
      </c>
      <c r="AH21" s="13">
        <f t="shared" si="2"/>
        <v>0</v>
      </c>
      <c r="AI21" s="13">
        <f t="shared" si="2"/>
        <v>0</v>
      </c>
      <c r="AJ21" s="13">
        <f t="shared" si="2"/>
        <v>0</v>
      </c>
      <c r="AL21" s="17">
        <f>E21</f>
        <v>0</v>
      </c>
      <c r="AM21" s="17">
        <f t="shared" si="4"/>
        <v>0</v>
      </c>
      <c r="AN21" s="17">
        <f t="shared" si="4"/>
        <v>0</v>
      </c>
      <c r="AO21" s="17">
        <f t="shared" si="4"/>
        <v>0</v>
      </c>
    </row>
    <row r="22" spans="1:41" x14ac:dyDescent="0.2">
      <c r="A22" s="10">
        <v>17</v>
      </c>
      <c r="B22" s="15"/>
      <c r="C22" s="15"/>
      <c r="D22" s="15"/>
      <c r="E22" s="18">
        <f>4.085+0.05</f>
        <v>4.1349999999999998</v>
      </c>
      <c r="F22" s="18">
        <f t="shared" ref="F22:G22" si="5">4.085+0.05</f>
        <v>4.1349999999999998</v>
      </c>
      <c r="G22" s="18">
        <f t="shared" si="5"/>
        <v>4.1349999999999998</v>
      </c>
      <c r="H22" s="18">
        <v>4.05</v>
      </c>
      <c r="AF22" s="9" t="str">
        <f t="shared" si="1"/>
        <v>OK</v>
      </c>
      <c r="AG22" s="13">
        <f t="shared" si="2"/>
        <v>4.1349999999999998</v>
      </c>
      <c r="AH22" s="13">
        <f t="shared" si="2"/>
        <v>4.1349999999999998</v>
      </c>
      <c r="AI22" s="13">
        <f t="shared" si="2"/>
        <v>4.1349999999999998</v>
      </c>
      <c r="AJ22" s="13">
        <f t="shared" si="2"/>
        <v>4.05</v>
      </c>
      <c r="AL22" s="17">
        <f>E22</f>
        <v>4.1349999999999998</v>
      </c>
      <c r="AM22" s="17">
        <f t="shared" si="4"/>
        <v>4.1349999999999998</v>
      </c>
      <c r="AN22" s="17">
        <f t="shared" si="4"/>
        <v>4.1349999999999998</v>
      </c>
      <c r="AO22" s="17">
        <f t="shared" si="4"/>
        <v>4.05</v>
      </c>
    </row>
    <row r="23" spans="1:41" x14ac:dyDescent="0.2">
      <c r="A23" s="10">
        <v>18</v>
      </c>
      <c r="B23" s="10"/>
      <c r="C23" s="15"/>
      <c r="D23" s="15"/>
      <c r="E23" s="18">
        <f>3+0.6+0.07+0.05</f>
        <v>3.7199999999999998</v>
      </c>
      <c r="F23" s="18">
        <f>3+0.6+0.05</f>
        <v>3.65</v>
      </c>
      <c r="G23" s="18">
        <f>3+0.6+0.05</f>
        <v>3.65</v>
      </c>
      <c r="H23" s="18">
        <f>3+0.6+0.05</f>
        <v>3.65</v>
      </c>
      <c r="AF23" s="9" t="str">
        <f t="shared" si="1"/>
        <v>OK</v>
      </c>
      <c r="AG23" s="13">
        <f t="shared" si="2"/>
        <v>3.7199999999999998</v>
      </c>
      <c r="AH23" s="13">
        <f t="shared" si="2"/>
        <v>3.65</v>
      </c>
      <c r="AI23" s="13">
        <f t="shared" si="2"/>
        <v>3.65</v>
      </c>
      <c r="AJ23" s="13">
        <f t="shared" si="2"/>
        <v>3.65</v>
      </c>
      <c r="AL23" s="17">
        <f>E23</f>
        <v>3.7199999999999998</v>
      </c>
      <c r="AM23" s="17">
        <f t="shared" si="4"/>
        <v>3.65</v>
      </c>
      <c r="AN23" s="17">
        <f t="shared" si="4"/>
        <v>3.65</v>
      </c>
      <c r="AO23" s="17">
        <f t="shared" si="4"/>
        <v>3.65</v>
      </c>
    </row>
    <row r="24" spans="1:41" x14ac:dyDescent="0.2">
      <c r="A24" s="10">
        <v>19</v>
      </c>
      <c r="B24" s="15"/>
      <c r="C24" s="15"/>
      <c r="D24" s="15"/>
      <c r="E24" s="18"/>
      <c r="F24" s="18"/>
      <c r="G24" s="18"/>
      <c r="H24" s="18"/>
      <c r="AF24" s="9" t="str">
        <f t="shared" si="1"/>
        <v>OK</v>
      </c>
      <c r="AG24" s="13">
        <f t="shared" si="2"/>
        <v>0</v>
      </c>
      <c r="AH24" s="13">
        <f t="shared" si="2"/>
        <v>0</v>
      </c>
      <c r="AI24" s="13">
        <f t="shared" si="2"/>
        <v>0</v>
      </c>
      <c r="AJ24" s="13">
        <f t="shared" si="2"/>
        <v>0</v>
      </c>
      <c r="AL24" s="17">
        <f>E24</f>
        <v>0</v>
      </c>
      <c r="AM24" s="17">
        <f t="shared" si="4"/>
        <v>0</v>
      </c>
      <c r="AN24" s="17">
        <f t="shared" si="4"/>
        <v>0</v>
      </c>
      <c r="AO24" s="17">
        <f t="shared" si="4"/>
        <v>0</v>
      </c>
    </row>
    <row r="25" spans="1:41" x14ac:dyDescent="0.2">
      <c r="A25" s="10">
        <v>20</v>
      </c>
      <c r="B25" s="15"/>
      <c r="C25" s="15"/>
      <c r="D25" s="15"/>
      <c r="E25" s="18">
        <f>4+0.3+0.05</f>
        <v>4.3499999999999996</v>
      </c>
      <c r="F25" s="18">
        <f t="shared" ref="F25:H25" si="6">4+0.3+0.05</f>
        <v>4.3499999999999996</v>
      </c>
      <c r="G25" s="18">
        <f t="shared" si="6"/>
        <v>4.3499999999999996</v>
      </c>
      <c r="H25" s="18">
        <f t="shared" si="6"/>
        <v>4.3499999999999996</v>
      </c>
      <c r="P25" s="9">
        <f>E25*'[1]Sector and category'!$N8</f>
        <v>1.8061134536218544</v>
      </c>
      <c r="Q25" s="9">
        <f>F25*'[1]Sector and category'!$N8</f>
        <v>1.8061134536218544</v>
      </c>
      <c r="R25" s="9">
        <f>G25*'[1]Sector and category'!$N8</f>
        <v>1.8061134536218544</v>
      </c>
      <c r="S25" s="9">
        <f>H25*'[1]Sector and category'!$N8</f>
        <v>1.8061134536218544</v>
      </c>
      <c r="T25" s="9">
        <f>E25*'[1]Sector and category'!$O8</f>
        <v>2.0864366487589447</v>
      </c>
      <c r="U25" s="9">
        <f>F25*'[1]Sector and category'!$O8</f>
        <v>2.0864366487589447</v>
      </c>
      <c r="V25" s="9">
        <f>G25*'[1]Sector and category'!$O8</f>
        <v>2.0864366487589447</v>
      </c>
      <c r="W25" s="9">
        <f>H25*'[1]Sector and category'!$O8</f>
        <v>2.0864366487589447</v>
      </c>
      <c r="X25" s="9">
        <f>E25*'[1]Sector and category'!$P8</f>
        <v>0.37602362963121505</v>
      </c>
      <c r="Y25" s="9">
        <f>F25*'[1]Sector and category'!$P8</f>
        <v>0.37602362963121505</v>
      </c>
      <c r="Z25" s="9">
        <f>G25*'[1]Sector and category'!$P8</f>
        <v>0.37602362963121505</v>
      </c>
      <c r="AA25" s="9">
        <f>H25*'[1]Sector and category'!$P8</f>
        <v>0.37602362963121505</v>
      </c>
      <c r="AB25" s="9">
        <f>E25*'[1]Sector and category'!$Q8</f>
        <v>8.1426267987985412E-2</v>
      </c>
      <c r="AC25" s="9">
        <f>F25*'[1]Sector and category'!$Q8</f>
        <v>8.1426267987985412E-2</v>
      </c>
      <c r="AD25" s="9">
        <f>G25*'[1]Sector and category'!$Q8</f>
        <v>8.1426267987985412E-2</v>
      </c>
      <c r="AE25" s="9">
        <f>H25*'[1]Sector and category'!$Q8</f>
        <v>8.1426267987985412E-2</v>
      </c>
      <c r="AF25" s="9" t="str">
        <f t="shared" si="1"/>
        <v>OK</v>
      </c>
      <c r="AG25" s="13">
        <f t="shared" si="2"/>
        <v>4.3499999999999988</v>
      </c>
      <c r="AH25" s="13">
        <f t="shared" si="2"/>
        <v>4.3499999999999988</v>
      </c>
      <c r="AI25" s="13">
        <f t="shared" si="2"/>
        <v>4.3499999999999988</v>
      </c>
      <c r="AJ25" s="13">
        <f t="shared" si="2"/>
        <v>4.3499999999999988</v>
      </c>
    </row>
    <row r="26" spans="1:41" x14ac:dyDescent="0.2">
      <c r="A26" s="10">
        <v>67</v>
      </c>
      <c r="B26" s="15"/>
      <c r="C26" s="15"/>
      <c r="D26" s="15"/>
      <c r="E26" s="18"/>
      <c r="F26" s="18"/>
      <c r="G26" s="18"/>
      <c r="H26" s="18"/>
      <c r="AG26" s="13"/>
      <c r="AH26" s="13"/>
      <c r="AI26" s="13"/>
      <c r="AJ26" s="13"/>
    </row>
    <row r="27" spans="1:41" s="22" customFormat="1" x14ac:dyDescent="0.2">
      <c r="A27" s="20"/>
      <c r="B27" s="21">
        <f>SUM(B20:B26)</f>
        <v>0</v>
      </c>
      <c r="C27" s="21">
        <f t="shared" ref="C27:H27" si="7">SUM(C20:C26)</f>
        <v>0</v>
      </c>
      <c r="D27" s="21">
        <f t="shared" si="7"/>
        <v>0</v>
      </c>
      <c r="E27" s="21">
        <f t="shared" si="7"/>
        <v>12.28</v>
      </c>
      <c r="F27" s="21">
        <f t="shared" si="7"/>
        <v>12.135</v>
      </c>
      <c r="G27" s="21">
        <f t="shared" si="7"/>
        <v>12.135</v>
      </c>
      <c r="H27" s="21">
        <f t="shared" si="7"/>
        <v>12.049999999999999</v>
      </c>
      <c r="P27" s="9"/>
      <c r="AF27" s="9" t="str">
        <f t="shared" si="1"/>
        <v>not</v>
      </c>
      <c r="AG27" s="13">
        <f t="shared" si="2"/>
        <v>0</v>
      </c>
      <c r="AH27" s="13">
        <f t="shared" si="2"/>
        <v>0</v>
      </c>
      <c r="AI27" s="13">
        <f t="shared" si="2"/>
        <v>0</v>
      </c>
      <c r="AJ27" s="13">
        <f t="shared" si="2"/>
        <v>0</v>
      </c>
    </row>
    <row r="28" spans="1:41" x14ac:dyDescent="0.2">
      <c r="A28" s="10">
        <v>21</v>
      </c>
      <c r="B28" s="15"/>
      <c r="C28" s="15"/>
      <c r="D28" s="15"/>
      <c r="E28" s="18">
        <f>4+0.6+0.1157+0.05</f>
        <v>4.7656999999999998</v>
      </c>
      <c r="F28" s="18">
        <f>4+0.6+0.05+0.05</f>
        <v>4.6999999999999993</v>
      </c>
      <c r="G28" s="18">
        <f>4+0.6+0.05+0.05</f>
        <v>4.6999999999999993</v>
      </c>
      <c r="H28" s="18">
        <f>4+0.6+0.05</f>
        <v>4.6499999999999995</v>
      </c>
      <c r="J28" s="23"/>
      <c r="P28" s="9">
        <f>E28*'[1]Sector and category'!$N26</f>
        <v>0.95313999999999999</v>
      </c>
      <c r="Q28" s="9">
        <f>F28*'[1]Sector and category'!$N26</f>
        <v>0.94</v>
      </c>
      <c r="R28" s="9">
        <f>G28*'[1]Sector and category'!$N26</f>
        <v>0.94</v>
      </c>
      <c r="S28" s="9">
        <f>H28*'[1]Sector and category'!$N26</f>
        <v>0.92999999999999994</v>
      </c>
      <c r="T28" s="9">
        <f>E28*'[1]Sector and category'!$O26</f>
        <v>1.90628</v>
      </c>
      <c r="U28" s="9">
        <f>F28*'[1]Sector and category'!$O26</f>
        <v>1.88</v>
      </c>
      <c r="V28" s="9">
        <f>G28*'[1]Sector and category'!$O26</f>
        <v>1.88</v>
      </c>
      <c r="W28" s="9">
        <f>H28*'[1]Sector and category'!$O26</f>
        <v>1.8599999999999999</v>
      </c>
      <c r="X28" s="9">
        <f>E28*'[1]Sector and category'!$P26</f>
        <v>1.2708533333333332</v>
      </c>
      <c r="Y28" s="9">
        <f>F28*'[1]Sector and category'!$P26</f>
        <v>1.2533333333333332</v>
      </c>
      <c r="Z28" s="9">
        <f>G28*'[1]Sector and category'!$P26</f>
        <v>1.2533333333333332</v>
      </c>
      <c r="AA28" s="9">
        <f>H28*'[1]Sector and category'!$P26</f>
        <v>1.2399999999999998</v>
      </c>
      <c r="AB28" s="9">
        <f>E28*'[1]Sector and category'!$Q26</f>
        <v>0.63542666666666658</v>
      </c>
      <c r="AC28" s="9">
        <f>F28*'[1]Sector and category'!$Q26</f>
        <v>0.62666666666666659</v>
      </c>
      <c r="AD28" s="9">
        <f>G28*'[1]Sector and category'!$Q26</f>
        <v>0.62666666666666659</v>
      </c>
      <c r="AE28" s="9">
        <f>H28*'[1]Sector and category'!$Q26</f>
        <v>0.61999999999999988</v>
      </c>
      <c r="AF28" s="9" t="str">
        <f t="shared" si="1"/>
        <v>OK</v>
      </c>
      <c r="AG28" s="13">
        <f t="shared" si="2"/>
        <v>4.7656999999999998</v>
      </c>
      <c r="AH28" s="13">
        <f t="shared" si="2"/>
        <v>4.7</v>
      </c>
      <c r="AI28" s="13">
        <f t="shared" si="2"/>
        <v>4.7</v>
      </c>
      <c r="AJ28" s="13">
        <f t="shared" si="2"/>
        <v>4.6499999999999995</v>
      </c>
    </row>
    <row r="29" spans="1:41" x14ac:dyDescent="0.2">
      <c r="A29" s="10">
        <v>22</v>
      </c>
      <c r="B29" s="15"/>
      <c r="C29" s="15"/>
      <c r="D29" s="15"/>
      <c r="E29" s="18">
        <v>3</v>
      </c>
      <c r="F29" s="18">
        <v>3</v>
      </c>
      <c r="G29" s="18">
        <v>3</v>
      </c>
      <c r="H29" s="18">
        <v>3</v>
      </c>
      <c r="P29" s="9">
        <f>E29*'[1]Sector and category'!$N8</f>
        <v>1.2455954852564513</v>
      </c>
      <c r="Q29" s="9">
        <f>F29*'[1]Sector and category'!$N8</f>
        <v>1.2455954852564513</v>
      </c>
      <c r="R29" s="9">
        <f>G29*'[1]Sector and category'!$N8</f>
        <v>1.2455954852564513</v>
      </c>
      <c r="S29" s="9">
        <f>H29*'[1]Sector and category'!$N8</f>
        <v>1.2455954852564513</v>
      </c>
      <c r="T29" s="9">
        <f>E29*'[1]Sector and category'!$O8</f>
        <v>1.438921826730307</v>
      </c>
      <c r="U29" s="9">
        <f>F29*'[1]Sector and category'!$O8</f>
        <v>1.438921826730307</v>
      </c>
      <c r="V29" s="9">
        <f>G29*'[1]Sector and category'!$O8</f>
        <v>1.438921826730307</v>
      </c>
      <c r="W29" s="9">
        <f>H29*'[1]Sector and category'!$O8</f>
        <v>1.438921826730307</v>
      </c>
      <c r="X29" s="9">
        <f>E29*'[1]Sector and category'!$P8</f>
        <v>0.25932664112497594</v>
      </c>
      <c r="Y29" s="9">
        <f>F29*'[1]Sector and category'!$P8</f>
        <v>0.25932664112497594</v>
      </c>
      <c r="Z29" s="9">
        <f>G29*'[1]Sector and category'!$P8</f>
        <v>0.25932664112497594</v>
      </c>
      <c r="AA29" s="9">
        <f>H29*'[1]Sector and category'!$P8</f>
        <v>0.25932664112497594</v>
      </c>
      <c r="AB29" s="9">
        <f>E29*'[1]Sector and category'!$Q8</f>
        <v>5.6156046888265809E-2</v>
      </c>
      <c r="AC29" s="9">
        <f>F29*'[1]Sector and category'!$Q8</f>
        <v>5.6156046888265809E-2</v>
      </c>
      <c r="AD29" s="9">
        <f>G29*'[1]Sector and category'!$Q8</f>
        <v>5.6156046888265809E-2</v>
      </c>
      <c r="AE29" s="9">
        <f>H29*'[1]Sector and category'!$Q8</f>
        <v>5.6156046888265809E-2</v>
      </c>
      <c r="AF29" s="9" t="str">
        <f t="shared" si="1"/>
        <v>OK</v>
      </c>
      <c r="AG29" s="13">
        <f t="shared" si="2"/>
        <v>3</v>
      </c>
      <c r="AH29" s="13">
        <f t="shared" si="2"/>
        <v>3</v>
      </c>
      <c r="AI29" s="13">
        <f t="shared" si="2"/>
        <v>3</v>
      </c>
      <c r="AJ29" s="13">
        <f t="shared" si="2"/>
        <v>3</v>
      </c>
    </row>
    <row r="30" spans="1:41" x14ac:dyDescent="0.2">
      <c r="A30" s="10">
        <v>23</v>
      </c>
      <c r="B30" s="15"/>
      <c r="C30" s="15"/>
      <c r="D30" s="15"/>
      <c r="E30" s="18">
        <v>0.45</v>
      </c>
      <c r="F30" s="18">
        <v>0.45</v>
      </c>
      <c r="G30" s="18">
        <v>0.45</v>
      </c>
      <c r="H30" s="18">
        <v>0.45</v>
      </c>
      <c r="P30" s="9">
        <f>E30*'[1]Sector and category'!$N8</f>
        <v>0.18683932278846771</v>
      </c>
      <c r="Q30" s="9">
        <f>F30*'[1]Sector and category'!$N8</f>
        <v>0.18683932278846771</v>
      </c>
      <c r="R30" s="9">
        <f>G30*'[1]Sector and category'!$N8</f>
        <v>0.18683932278846771</v>
      </c>
      <c r="S30" s="9">
        <f>H30*'[1]Sector and category'!$N8</f>
        <v>0.18683932278846771</v>
      </c>
      <c r="T30" s="9">
        <f>E30*'[1]Sector and category'!$O8</f>
        <v>0.21583827400954603</v>
      </c>
      <c r="U30" s="9">
        <f>F30*'[1]Sector and category'!$O8</f>
        <v>0.21583827400954603</v>
      </c>
      <c r="V30" s="9">
        <f>G30*'[1]Sector and category'!$O8</f>
        <v>0.21583827400954603</v>
      </c>
      <c r="W30" s="9">
        <f>H30*'[1]Sector and category'!$O8</f>
        <v>0.21583827400954603</v>
      </c>
      <c r="X30" s="9">
        <f>E30*'[1]Sector and category'!$P8</f>
        <v>3.889899616874639E-2</v>
      </c>
      <c r="Y30" s="9">
        <f>F30*'[1]Sector and category'!$P8</f>
        <v>3.889899616874639E-2</v>
      </c>
      <c r="Z30" s="9">
        <f>G30*'[1]Sector and category'!$P8</f>
        <v>3.889899616874639E-2</v>
      </c>
      <c r="AA30" s="9">
        <f>H30*'[1]Sector and category'!$P8</f>
        <v>3.889899616874639E-2</v>
      </c>
      <c r="AB30" s="9">
        <f>E30*'[1]Sector and category'!$Q8</f>
        <v>8.4234070332398717E-3</v>
      </c>
      <c r="AC30" s="9">
        <f>F30*'[1]Sector and category'!$Q8</f>
        <v>8.4234070332398717E-3</v>
      </c>
      <c r="AD30" s="9">
        <f>G30*'[1]Sector and category'!$Q8</f>
        <v>8.4234070332398717E-3</v>
      </c>
      <c r="AE30" s="9">
        <f>H30*'[1]Sector and category'!$Q8</f>
        <v>8.4234070332398717E-3</v>
      </c>
      <c r="AF30" s="9" t="str">
        <f t="shared" si="1"/>
        <v>OK</v>
      </c>
      <c r="AG30" s="13">
        <f t="shared" si="2"/>
        <v>0.44999999999999996</v>
      </c>
      <c r="AH30" s="13">
        <f t="shared" si="2"/>
        <v>0.44999999999999996</v>
      </c>
      <c r="AI30" s="13">
        <f t="shared" si="2"/>
        <v>0.44999999999999996</v>
      </c>
      <c r="AJ30" s="13">
        <f t="shared" si="2"/>
        <v>0.44999999999999996</v>
      </c>
    </row>
    <row r="31" spans="1:41" x14ac:dyDescent="0.2">
      <c r="A31" s="10">
        <v>24</v>
      </c>
      <c r="B31" s="10"/>
      <c r="C31" s="15"/>
      <c r="D31" s="10"/>
      <c r="E31" s="24"/>
      <c r="F31" s="24"/>
      <c r="G31" s="24"/>
      <c r="H31" s="24"/>
      <c r="X31" s="13">
        <f>E31</f>
        <v>0</v>
      </c>
      <c r="Y31" s="13">
        <f>F31</f>
        <v>0</v>
      </c>
      <c r="Z31" s="13">
        <f>G31</f>
        <v>0</v>
      </c>
      <c r="AA31" s="13">
        <f>H31</f>
        <v>0</v>
      </c>
      <c r="AF31" s="9" t="str">
        <f t="shared" si="1"/>
        <v>OK</v>
      </c>
      <c r="AG31" s="13">
        <f t="shared" si="2"/>
        <v>0</v>
      </c>
      <c r="AH31" s="13">
        <f t="shared" si="2"/>
        <v>0</v>
      </c>
      <c r="AI31" s="13">
        <f t="shared" si="2"/>
        <v>0</v>
      </c>
      <c r="AJ31" s="13">
        <f t="shared" si="2"/>
        <v>0</v>
      </c>
    </row>
    <row r="32" spans="1:41" x14ac:dyDescent="0.2">
      <c r="A32" s="10">
        <v>25</v>
      </c>
      <c r="B32" s="15"/>
      <c r="C32" s="15"/>
      <c r="D32" s="15"/>
      <c r="E32" s="18">
        <f>2+10</f>
        <v>12</v>
      </c>
      <c r="F32" s="18">
        <f>2</f>
        <v>2</v>
      </c>
      <c r="G32" s="18">
        <f>2</f>
        <v>2</v>
      </c>
      <c r="H32" s="18">
        <f>2</f>
        <v>2</v>
      </c>
      <c r="AB32" s="17">
        <f>E32</f>
        <v>12</v>
      </c>
      <c r="AC32" s="17">
        <f>F32</f>
        <v>2</v>
      </c>
      <c r="AD32" s="17">
        <f>G32</f>
        <v>2</v>
      </c>
      <c r="AE32" s="17">
        <f>H32</f>
        <v>2</v>
      </c>
      <c r="AF32" s="9" t="str">
        <f t="shared" si="1"/>
        <v>OK</v>
      </c>
      <c r="AG32" s="13">
        <f t="shared" si="2"/>
        <v>12</v>
      </c>
      <c r="AH32" s="13">
        <f t="shared" si="2"/>
        <v>2</v>
      </c>
      <c r="AI32" s="13">
        <f t="shared" si="2"/>
        <v>2</v>
      </c>
      <c r="AJ32" s="13">
        <f t="shared" si="2"/>
        <v>2</v>
      </c>
    </row>
    <row r="33" spans="1:46" x14ac:dyDescent="0.2">
      <c r="A33" s="10">
        <v>26</v>
      </c>
      <c r="B33" s="10"/>
      <c r="C33" s="15"/>
      <c r="D33" s="15"/>
      <c r="E33" s="18"/>
      <c r="F33" s="18"/>
      <c r="G33" s="18"/>
      <c r="H33" s="18"/>
      <c r="J33" s="23"/>
      <c r="P33" s="9">
        <f>E33*'[1]Sector and category'!$N8</f>
        <v>0</v>
      </c>
      <c r="Q33" s="9">
        <f>F33*'[1]Sector and category'!$N8</f>
        <v>0</v>
      </c>
      <c r="R33" s="9">
        <f>G33*'[1]Sector and category'!$N8</f>
        <v>0</v>
      </c>
      <c r="S33" s="9">
        <f>H33*'[1]Sector and category'!$N8</f>
        <v>0</v>
      </c>
      <c r="T33" s="9">
        <f>E33*'[1]Sector and category'!$O8</f>
        <v>0</v>
      </c>
      <c r="U33" s="9">
        <f>F33*'[1]Sector and category'!$O8</f>
        <v>0</v>
      </c>
      <c r="V33" s="9">
        <f>G33*'[1]Sector and category'!$O8</f>
        <v>0</v>
      </c>
      <c r="W33" s="9">
        <f>H33*'[1]Sector and category'!$O8</f>
        <v>0</v>
      </c>
      <c r="X33" s="9">
        <f>E33*'[1]Sector and category'!$P8</f>
        <v>0</v>
      </c>
      <c r="Y33" s="9">
        <f>F33*'[1]Sector and category'!$P8</f>
        <v>0</v>
      </c>
      <c r="Z33" s="9">
        <f>G33*'[1]Sector and category'!$P8</f>
        <v>0</v>
      </c>
      <c r="AA33" s="9">
        <f>H33*'[1]Sector and category'!$P8</f>
        <v>0</v>
      </c>
      <c r="AB33" s="9">
        <f>E33*'[1]Sector and category'!$Q8</f>
        <v>0</v>
      </c>
      <c r="AC33" s="9">
        <f>F33*'[1]Sector and category'!$Q8</f>
        <v>0</v>
      </c>
      <c r="AD33" s="9">
        <f>G33*'[1]Sector and category'!$Q8</f>
        <v>0</v>
      </c>
      <c r="AE33" s="9">
        <f>H33*'[1]Sector and category'!$Q8</f>
        <v>0</v>
      </c>
      <c r="AF33" s="9" t="str">
        <f t="shared" si="1"/>
        <v>OK</v>
      </c>
      <c r="AG33" s="13">
        <f t="shared" si="2"/>
        <v>0</v>
      </c>
      <c r="AH33" s="13">
        <f t="shared" si="2"/>
        <v>0</v>
      </c>
      <c r="AI33" s="13">
        <f t="shared" si="2"/>
        <v>0</v>
      </c>
      <c r="AJ33" s="13">
        <f t="shared" si="2"/>
        <v>0</v>
      </c>
    </row>
    <row r="34" spans="1:46" x14ac:dyDescent="0.2">
      <c r="A34" s="10">
        <v>27</v>
      </c>
      <c r="B34" s="15"/>
      <c r="C34" s="15"/>
      <c r="D34" s="15"/>
      <c r="E34" s="18"/>
      <c r="F34" s="18"/>
      <c r="G34" s="18"/>
      <c r="H34" s="18"/>
      <c r="N34" s="9" t="s">
        <v>216</v>
      </c>
      <c r="P34" s="9">
        <f>E34*'[1]Sector and category'!$N9</f>
        <v>0</v>
      </c>
      <c r="T34" s="9">
        <f>E34*'[1]Sector and category'!$O12</f>
        <v>0</v>
      </c>
      <c r="U34" s="9">
        <f>F34*'[1]Sector and category'!$O12</f>
        <v>0</v>
      </c>
      <c r="V34" s="9">
        <f>G34*'[1]Sector and category'!$O12</f>
        <v>0</v>
      </c>
      <c r="W34" s="9">
        <f>H34*'[1]Sector and category'!$O12</f>
        <v>0</v>
      </c>
      <c r="X34" s="9">
        <f>E34*'[1]Sector and category'!$P12</f>
        <v>0</v>
      </c>
      <c r="Y34" s="9">
        <f>F34*'[1]Sector and category'!$P12</f>
        <v>0</v>
      </c>
      <c r="Z34" s="9">
        <f>G34*'[1]Sector and category'!$P12</f>
        <v>0</v>
      </c>
      <c r="AA34" s="9">
        <f>H34*'[1]Sector and category'!$P12</f>
        <v>0</v>
      </c>
      <c r="AF34" s="9" t="str">
        <f t="shared" si="1"/>
        <v>OK</v>
      </c>
      <c r="AG34" s="13">
        <f t="shared" si="2"/>
        <v>0</v>
      </c>
      <c r="AH34" s="13">
        <f t="shared" si="2"/>
        <v>0</v>
      </c>
      <c r="AI34" s="13">
        <f t="shared" si="2"/>
        <v>0</v>
      </c>
      <c r="AJ34" s="13">
        <f t="shared" si="2"/>
        <v>0</v>
      </c>
    </row>
    <row r="35" spans="1:46" x14ac:dyDescent="0.2">
      <c r="A35" s="10">
        <v>28</v>
      </c>
      <c r="B35" s="10"/>
      <c r="C35" s="10"/>
      <c r="D35" s="10"/>
      <c r="E35" s="10"/>
      <c r="F35" s="10"/>
      <c r="G35" s="10"/>
      <c r="H35" s="10"/>
      <c r="P35" s="9">
        <f>E35*'[1]Sector and category'!$N8</f>
        <v>0</v>
      </c>
      <c r="Q35" s="9">
        <f>F35*'[1]Sector and category'!$N8</f>
        <v>0</v>
      </c>
      <c r="R35" s="9">
        <f>G35*'[1]Sector and category'!$N8</f>
        <v>0</v>
      </c>
      <c r="S35" s="9">
        <f>H35*'[1]Sector and category'!$N8</f>
        <v>0</v>
      </c>
      <c r="T35" s="9">
        <f>E35*'[1]Sector and category'!$O8</f>
        <v>0</v>
      </c>
      <c r="U35" s="9">
        <f>F35*'[1]Sector and category'!$O8</f>
        <v>0</v>
      </c>
      <c r="V35" s="9">
        <f>G35*'[1]Sector and category'!$O8</f>
        <v>0</v>
      </c>
      <c r="W35" s="9">
        <f>H35*'[1]Sector and category'!$O8</f>
        <v>0</v>
      </c>
      <c r="X35" s="9">
        <f>E35*'[1]Sector and category'!$P8</f>
        <v>0</v>
      </c>
      <c r="Y35" s="9">
        <f>F35*'[1]Sector and category'!$P8</f>
        <v>0</v>
      </c>
      <c r="Z35" s="9">
        <f>G35*'[1]Sector and category'!$P8</f>
        <v>0</v>
      </c>
      <c r="AA35" s="9">
        <f>H35*'[1]Sector and category'!$P8</f>
        <v>0</v>
      </c>
      <c r="AB35" s="9">
        <f>E35*'[1]Sector and category'!$Q8</f>
        <v>0</v>
      </c>
      <c r="AC35" s="9">
        <f>F35*'[1]Sector and category'!$Q8</f>
        <v>0</v>
      </c>
      <c r="AD35" s="9">
        <f>G35*'[1]Sector and category'!$Q8</f>
        <v>0</v>
      </c>
      <c r="AE35" s="9">
        <f>H35*'[1]Sector and category'!$Q8</f>
        <v>0</v>
      </c>
      <c r="AF35" s="9" t="str">
        <f t="shared" si="1"/>
        <v>OK</v>
      </c>
      <c r="AG35" s="13">
        <f t="shared" si="2"/>
        <v>0</v>
      </c>
      <c r="AH35" s="13">
        <f t="shared" si="2"/>
        <v>0</v>
      </c>
      <c r="AI35" s="13">
        <f t="shared" si="2"/>
        <v>0</v>
      </c>
      <c r="AJ35" s="13">
        <f t="shared" si="2"/>
        <v>0</v>
      </c>
    </row>
    <row r="36" spans="1:46" x14ac:dyDescent="0.2">
      <c r="A36" s="10">
        <v>29</v>
      </c>
      <c r="B36" s="10"/>
      <c r="C36" s="10"/>
      <c r="D36" s="10"/>
      <c r="E36" s="24">
        <f>4+0.3+0.05</f>
        <v>4.3499999999999996</v>
      </c>
      <c r="F36" s="24">
        <f t="shared" ref="F36:H36" si="8">4+0.3+0.05</f>
        <v>4.3499999999999996</v>
      </c>
      <c r="G36" s="24">
        <f t="shared" si="8"/>
        <v>4.3499999999999996</v>
      </c>
      <c r="H36" s="24">
        <f t="shared" si="8"/>
        <v>4.3499999999999996</v>
      </c>
      <c r="P36" s="9">
        <f>E36</f>
        <v>4.3499999999999996</v>
      </c>
      <c r="Q36" s="9">
        <f>F36</f>
        <v>4.3499999999999996</v>
      </c>
      <c r="R36" s="9">
        <f>G36</f>
        <v>4.3499999999999996</v>
      </c>
      <c r="S36" s="9">
        <f>H36</f>
        <v>4.3499999999999996</v>
      </c>
      <c r="AF36" s="9" t="str">
        <f t="shared" si="1"/>
        <v>OK</v>
      </c>
      <c r="AG36" s="13">
        <f t="shared" si="2"/>
        <v>4.3499999999999996</v>
      </c>
      <c r="AH36" s="13">
        <f t="shared" si="2"/>
        <v>4.3499999999999996</v>
      </c>
      <c r="AI36" s="13">
        <f t="shared" si="2"/>
        <v>4.3499999999999996</v>
      </c>
      <c r="AJ36" s="13">
        <f t="shared" si="2"/>
        <v>4.3499999999999996</v>
      </c>
    </row>
    <row r="37" spans="1:46" x14ac:dyDescent="0.2">
      <c r="A37" s="10">
        <v>30</v>
      </c>
      <c r="B37" s="15"/>
      <c r="C37" s="15"/>
      <c r="D37" s="15"/>
      <c r="E37" s="18"/>
      <c r="F37" s="18"/>
      <c r="G37" s="18"/>
      <c r="H37" s="18"/>
      <c r="T37" s="9">
        <f>E37*'[1]Sector and category'!$O12</f>
        <v>0</v>
      </c>
      <c r="U37" s="9">
        <f>F37*'[1]Sector and category'!$O12</f>
        <v>0</v>
      </c>
      <c r="V37" s="9">
        <f>G37*'[1]Sector and category'!$O12</f>
        <v>0</v>
      </c>
      <c r="W37" s="9">
        <f>H37*'[1]Sector and category'!$O12</f>
        <v>0</v>
      </c>
      <c r="X37" s="9">
        <f>E37*'[1]Sector and category'!$P12</f>
        <v>0</v>
      </c>
      <c r="Y37" s="9">
        <f>F37*'[1]Sector and category'!$P12</f>
        <v>0</v>
      </c>
      <c r="Z37" s="9">
        <f>G37*'[1]Sector and category'!$P12</f>
        <v>0</v>
      </c>
      <c r="AA37" s="9">
        <f>H37*'[1]Sector and category'!$P12</f>
        <v>0</v>
      </c>
      <c r="AF37" s="9" t="str">
        <f t="shared" si="1"/>
        <v>OK</v>
      </c>
      <c r="AG37" s="13">
        <f t="shared" si="2"/>
        <v>0</v>
      </c>
      <c r="AH37" s="13">
        <f t="shared" si="2"/>
        <v>0</v>
      </c>
      <c r="AI37" s="13">
        <f t="shared" si="2"/>
        <v>0</v>
      </c>
      <c r="AJ37" s="13">
        <f t="shared" si="2"/>
        <v>0</v>
      </c>
    </row>
    <row r="38" spans="1:46" x14ac:dyDescent="0.2">
      <c r="A38" s="10">
        <v>31</v>
      </c>
      <c r="B38" s="10"/>
      <c r="C38" s="10"/>
      <c r="D38" s="10"/>
      <c r="E38" s="16">
        <f>0.6</f>
        <v>0.6</v>
      </c>
      <c r="F38" s="16">
        <f t="shared" ref="F38:H38" si="9">0.6</f>
        <v>0.6</v>
      </c>
      <c r="G38" s="16">
        <f t="shared" si="9"/>
        <v>0.6</v>
      </c>
      <c r="H38" s="16">
        <f t="shared" si="9"/>
        <v>0.6</v>
      </c>
      <c r="P38" s="9">
        <f>E38*'[1]Sector and category'!$N8</f>
        <v>0.24911909705129026</v>
      </c>
      <c r="Q38" s="9">
        <f>F38*'[1]Sector and category'!$N8</f>
        <v>0.24911909705129026</v>
      </c>
      <c r="R38" s="9">
        <f>G38*'[1]Sector and category'!$N8</f>
        <v>0.24911909705129026</v>
      </c>
      <c r="S38" s="9">
        <f>H38*'[1]Sector and category'!$N8</f>
        <v>0.24911909705129026</v>
      </c>
      <c r="T38" s="9">
        <f>E38*'[1]Sector and category'!$O8</f>
        <v>0.28778436534606139</v>
      </c>
      <c r="U38" s="9">
        <f>F38*'[1]Sector and category'!$O8</f>
        <v>0.28778436534606139</v>
      </c>
      <c r="V38" s="9">
        <f>G38*'[1]Sector and category'!$O8</f>
        <v>0.28778436534606139</v>
      </c>
      <c r="W38" s="9">
        <f>H38*'[1]Sector and category'!$O8</f>
        <v>0.28778436534606139</v>
      </c>
      <c r="X38" s="9">
        <f>E38*'[1]Sector and category'!$P8</f>
        <v>5.1865328224995184E-2</v>
      </c>
      <c r="Y38" s="9">
        <f>F38*'[1]Sector and category'!$P8</f>
        <v>5.1865328224995184E-2</v>
      </c>
      <c r="Z38" s="9">
        <f>G38*'[1]Sector and category'!$P8</f>
        <v>5.1865328224995184E-2</v>
      </c>
      <c r="AA38" s="9">
        <f>H38*'[1]Sector and category'!$P8</f>
        <v>5.1865328224995184E-2</v>
      </c>
      <c r="AB38" s="9">
        <f>E38*'[1]Sector and category'!$Q8</f>
        <v>1.1231209377653161E-2</v>
      </c>
      <c r="AC38" s="9">
        <f>F38*'[1]Sector and category'!$Q8</f>
        <v>1.1231209377653161E-2</v>
      </c>
      <c r="AD38" s="9">
        <f>G38*'[1]Sector and category'!$Q8</f>
        <v>1.1231209377653161E-2</v>
      </c>
      <c r="AE38" s="9">
        <f>H38*'[1]Sector and category'!$Q8</f>
        <v>1.1231209377653161E-2</v>
      </c>
      <c r="AF38" s="9" t="str">
        <f t="shared" si="1"/>
        <v>OK</v>
      </c>
      <c r="AG38" s="13">
        <f t="shared" si="2"/>
        <v>0.60000000000000009</v>
      </c>
      <c r="AH38" s="13">
        <f t="shared" si="2"/>
        <v>0.60000000000000009</v>
      </c>
      <c r="AI38" s="13">
        <f t="shared" si="2"/>
        <v>0.60000000000000009</v>
      </c>
      <c r="AJ38" s="13">
        <f t="shared" si="2"/>
        <v>0.60000000000000009</v>
      </c>
    </row>
    <row r="39" spans="1:46" s="22" customFormat="1" x14ac:dyDescent="0.2">
      <c r="A39" s="20"/>
      <c r="B39" s="21">
        <f>SUM(B28:B38)</f>
        <v>0</v>
      </c>
      <c r="C39" s="21">
        <f t="shared" ref="C39:D39" si="10">SUM(C28:C38)</f>
        <v>0</v>
      </c>
      <c r="D39" s="21">
        <f t="shared" si="10"/>
        <v>0</v>
      </c>
      <c r="E39" s="21">
        <f>SUM(E28:E38)</f>
        <v>25.165700000000001</v>
      </c>
      <c r="F39" s="21">
        <f t="shared" ref="F39:H39" si="11">SUM(F28:F38)</f>
        <v>15.099999999999998</v>
      </c>
      <c r="G39" s="21">
        <f t="shared" si="11"/>
        <v>15.099999999999998</v>
      </c>
      <c r="H39" s="21">
        <f t="shared" si="11"/>
        <v>15.049999999999999</v>
      </c>
      <c r="P39" s="9"/>
      <c r="AF39" s="9" t="str">
        <f t="shared" si="1"/>
        <v>not</v>
      </c>
      <c r="AG39" s="13">
        <f t="shared" si="2"/>
        <v>0</v>
      </c>
      <c r="AH39" s="13">
        <f t="shared" si="2"/>
        <v>0</v>
      </c>
      <c r="AI39" s="13">
        <f t="shared" si="2"/>
        <v>0</v>
      </c>
      <c r="AJ39" s="13">
        <f t="shared" si="2"/>
        <v>0</v>
      </c>
    </row>
    <row r="40" spans="1:46" x14ac:dyDescent="0.2">
      <c r="A40" s="10">
        <v>32</v>
      </c>
      <c r="B40" s="10"/>
      <c r="C40" s="10"/>
      <c r="D40" s="10"/>
      <c r="E40" s="16">
        <v>0.25</v>
      </c>
      <c r="F40" s="16"/>
      <c r="G40" s="16"/>
      <c r="H40" s="16"/>
      <c r="AB40" s="9">
        <f>E40*'[1]Sector and category'!$O17</f>
        <v>0.22108556918790168</v>
      </c>
      <c r="AC40" s="9">
        <f>F40*'[1]Sector and category'!$O17</f>
        <v>0</v>
      </c>
      <c r="AD40" s="9">
        <f>G40*'[1]Sector and category'!$O17</f>
        <v>0</v>
      </c>
      <c r="AE40" s="9">
        <f>H40*'[1]Sector and category'!$O17</f>
        <v>0</v>
      </c>
      <c r="AF40" s="9" t="str">
        <f t="shared" si="1"/>
        <v>OK</v>
      </c>
      <c r="AG40" s="13">
        <f t="shared" si="2"/>
        <v>0.25</v>
      </c>
      <c r="AH40" s="13">
        <f t="shared" si="2"/>
        <v>0</v>
      </c>
      <c r="AI40" s="13">
        <f t="shared" si="2"/>
        <v>0</v>
      </c>
      <c r="AJ40" s="13">
        <f t="shared" si="2"/>
        <v>0</v>
      </c>
      <c r="AQ40" s="9">
        <f>E40*'[1]Sector and category'!$P17</f>
        <v>2.8914430812098331E-2</v>
      </c>
      <c r="AR40" s="9">
        <f>F40*'[1]Sector and category'!$P17</f>
        <v>0</v>
      </c>
      <c r="AS40" s="9">
        <f>G40*'[1]Sector and category'!$P17</f>
        <v>0</v>
      </c>
      <c r="AT40" s="9">
        <f>H40*'[1]Sector and category'!$P17</f>
        <v>0</v>
      </c>
    </row>
    <row r="41" spans="1:46" x14ac:dyDescent="0.2">
      <c r="A41" s="10">
        <v>33</v>
      </c>
      <c r="B41" s="10"/>
      <c r="C41" s="10"/>
      <c r="D41" s="10"/>
      <c r="E41" s="16">
        <v>0.25</v>
      </c>
      <c r="F41" s="16"/>
      <c r="G41" s="16"/>
      <c r="H41" s="16"/>
      <c r="AB41" s="9">
        <f>E41*'[1]Sector and category'!$O17</f>
        <v>0.22108556918790168</v>
      </c>
      <c r="AC41" s="9">
        <f>F41*'[1]Sector and category'!$O17</f>
        <v>0</v>
      </c>
      <c r="AD41" s="9">
        <f>G41*'[1]Sector and category'!$O17</f>
        <v>0</v>
      </c>
      <c r="AE41" s="9">
        <f>H41*'[1]Sector and category'!$O17</f>
        <v>0</v>
      </c>
      <c r="AF41" s="9" t="str">
        <f t="shared" si="1"/>
        <v>OK</v>
      </c>
      <c r="AG41" s="13">
        <f t="shared" si="2"/>
        <v>0.25</v>
      </c>
      <c r="AH41" s="13">
        <f t="shared" si="2"/>
        <v>0</v>
      </c>
      <c r="AI41" s="13">
        <f t="shared" si="2"/>
        <v>0</v>
      </c>
      <c r="AJ41" s="13">
        <f t="shared" si="2"/>
        <v>0</v>
      </c>
      <c r="AQ41" s="9">
        <f>E41*'[1]Sector and category'!$P17</f>
        <v>2.8914430812098331E-2</v>
      </c>
      <c r="AR41" s="9">
        <f>F41*'[1]Sector and category'!$P17</f>
        <v>0</v>
      </c>
      <c r="AS41" s="9">
        <f>G41*'[1]Sector and category'!$P17</f>
        <v>0</v>
      </c>
      <c r="AT41" s="9">
        <f>H41*'[1]Sector and category'!$P17</f>
        <v>0</v>
      </c>
    </row>
    <row r="42" spans="1:46" x14ac:dyDescent="0.2">
      <c r="A42" s="10">
        <v>34</v>
      </c>
      <c r="B42" s="10"/>
      <c r="C42" s="10"/>
      <c r="D42" s="10"/>
      <c r="E42" s="16">
        <v>0.25</v>
      </c>
      <c r="F42" s="16"/>
      <c r="G42" s="16"/>
      <c r="H42" s="16"/>
      <c r="AB42" s="9">
        <f>E42*'[1]Sector and category'!$O17</f>
        <v>0.22108556918790168</v>
      </c>
      <c r="AC42" s="9">
        <f>F42*'[1]Sector and category'!$O17</f>
        <v>0</v>
      </c>
      <c r="AD42" s="9">
        <f>G42*'[1]Sector and category'!$O17</f>
        <v>0</v>
      </c>
      <c r="AE42" s="9">
        <f>H42*'[1]Sector and category'!$O17</f>
        <v>0</v>
      </c>
      <c r="AF42" s="9" t="str">
        <f t="shared" si="1"/>
        <v>OK</v>
      </c>
      <c r="AG42" s="13">
        <f t="shared" si="2"/>
        <v>0.25</v>
      </c>
      <c r="AH42" s="13">
        <f t="shared" si="2"/>
        <v>0</v>
      </c>
      <c r="AI42" s="13">
        <f t="shared" si="2"/>
        <v>0</v>
      </c>
      <c r="AJ42" s="13">
        <f t="shared" si="2"/>
        <v>0</v>
      </c>
      <c r="AQ42" s="9">
        <f>E42*'[1]Sector and category'!$P17</f>
        <v>2.8914430812098331E-2</v>
      </c>
      <c r="AR42" s="9">
        <f>F42*'[1]Sector and category'!$P17</f>
        <v>0</v>
      </c>
      <c r="AS42" s="9">
        <f>G42*'[1]Sector and category'!$P17</f>
        <v>0</v>
      </c>
      <c r="AT42" s="9">
        <f>H42*'[1]Sector and category'!$P17</f>
        <v>0</v>
      </c>
    </row>
    <row r="43" spans="1:46" x14ac:dyDescent="0.2">
      <c r="A43" s="10">
        <v>35</v>
      </c>
      <c r="B43" s="10"/>
      <c r="C43" s="10"/>
      <c r="D43" s="10"/>
      <c r="E43" s="16">
        <f>2+10+0.25</f>
        <v>12.25</v>
      </c>
      <c r="F43" s="16">
        <f>2</f>
        <v>2</v>
      </c>
      <c r="G43" s="16">
        <f>2</f>
        <v>2</v>
      </c>
      <c r="H43" s="16">
        <f>2</f>
        <v>2</v>
      </c>
      <c r="AB43" s="9">
        <f>E43*'[1]Sector and category'!$O17</f>
        <v>10.833192890207183</v>
      </c>
      <c r="AC43" s="9">
        <f>F43*'[1]Sector and category'!$O17</f>
        <v>1.7686845535032134</v>
      </c>
      <c r="AD43" s="9">
        <f>G43*'[1]Sector and category'!$O17</f>
        <v>1.7686845535032134</v>
      </c>
      <c r="AE43" s="9">
        <f>H43*'[1]Sector and category'!$O17</f>
        <v>1.7686845535032134</v>
      </c>
      <c r="AF43" s="9" t="str">
        <f t="shared" si="1"/>
        <v>OK</v>
      </c>
      <c r="AG43" s="13">
        <f t="shared" si="2"/>
        <v>12.250000000000002</v>
      </c>
      <c r="AH43" s="13">
        <f t="shared" si="2"/>
        <v>2</v>
      </c>
      <c r="AI43" s="13">
        <f t="shared" si="2"/>
        <v>2</v>
      </c>
      <c r="AJ43" s="13">
        <f t="shared" si="2"/>
        <v>2</v>
      </c>
      <c r="AQ43" s="9">
        <f>E43*'[1]Sector and category'!$P17</f>
        <v>1.4168071097928183</v>
      </c>
      <c r="AR43" s="9">
        <f>F43*'[1]Sector and category'!$P17</f>
        <v>0.23131544649678665</v>
      </c>
      <c r="AS43" s="9">
        <f>G43*'[1]Sector and category'!$P17</f>
        <v>0.23131544649678665</v>
      </c>
      <c r="AT43" s="9">
        <f>H43*'[1]Sector and category'!$P17</f>
        <v>0.23131544649678665</v>
      </c>
    </row>
    <row r="44" spans="1:46" x14ac:dyDescent="0.2">
      <c r="A44" s="10">
        <v>36</v>
      </c>
      <c r="B44" s="10"/>
      <c r="C44" s="10"/>
      <c r="D44" s="10"/>
      <c r="E44" s="16">
        <v>0.25</v>
      </c>
      <c r="F44" s="16"/>
      <c r="G44" s="16"/>
      <c r="H44" s="16"/>
      <c r="AF44" s="9" t="str">
        <f t="shared" si="1"/>
        <v>OK</v>
      </c>
      <c r="AG44" s="13">
        <f t="shared" si="2"/>
        <v>0.25</v>
      </c>
      <c r="AH44" s="13">
        <f t="shared" si="2"/>
        <v>0</v>
      </c>
      <c r="AI44" s="13">
        <f t="shared" si="2"/>
        <v>0</v>
      </c>
      <c r="AJ44" s="13">
        <f t="shared" si="2"/>
        <v>0</v>
      </c>
      <c r="AQ44" s="17">
        <f>E44</f>
        <v>0.25</v>
      </c>
      <c r="AR44" s="17">
        <f>F44</f>
        <v>0</v>
      </c>
      <c r="AS44" s="17">
        <f>G44</f>
        <v>0</v>
      </c>
      <c r="AT44" s="17">
        <f>H44</f>
        <v>0</v>
      </c>
    </row>
    <row r="45" spans="1:46" x14ac:dyDescent="0.2">
      <c r="A45" s="10">
        <v>37</v>
      </c>
      <c r="B45" s="10"/>
      <c r="C45" s="10"/>
      <c r="D45" s="10"/>
      <c r="E45" s="16">
        <v>0.25</v>
      </c>
      <c r="F45" s="16"/>
      <c r="G45" s="16"/>
      <c r="H45" s="16"/>
      <c r="AB45" s="9">
        <f>E45*'[1]Sector and category'!$O17</f>
        <v>0.22108556918790168</v>
      </c>
      <c r="AC45" s="9">
        <f>F45*'[1]Sector and category'!$O17</f>
        <v>0</v>
      </c>
      <c r="AD45" s="9">
        <f>G45*'[1]Sector and category'!$O17</f>
        <v>0</v>
      </c>
      <c r="AE45" s="9">
        <f>H45*'[1]Sector and category'!$O17</f>
        <v>0</v>
      </c>
      <c r="AF45" s="9" t="str">
        <f t="shared" si="1"/>
        <v>OK</v>
      </c>
      <c r="AG45" s="13">
        <f t="shared" si="2"/>
        <v>0.25</v>
      </c>
      <c r="AH45" s="13">
        <f t="shared" si="2"/>
        <v>0</v>
      </c>
      <c r="AI45" s="13">
        <f t="shared" si="2"/>
        <v>0</v>
      </c>
      <c r="AJ45" s="13">
        <f t="shared" si="2"/>
        <v>0</v>
      </c>
      <c r="AQ45" s="9">
        <f>E45*'[1]Sector and category'!$P17</f>
        <v>2.8914430812098331E-2</v>
      </c>
      <c r="AR45" s="9">
        <f>F45*'[1]Sector and category'!$P17</f>
        <v>0</v>
      </c>
      <c r="AS45" s="9">
        <f>G45*'[1]Sector and category'!$P17</f>
        <v>0</v>
      </c>
      <c r="AT45" s="9">
        <f>H45*'[1]Sector and category'!$P17</f>
        <v>0</v>
      </c>
    </row>
    <row r="46" spans="1:46" x14ac:dyDescent="0.2">
      <c r="A46" s="10">
        <v>38</v>
      </c>
      <c r="B46" s="10"/>
      <c r="C46" s="10"/>
      <c r="D46" s="10"/>
      <c r="E46" s="16">
        <f>12+2+0.375</f>
        <v>14.375</v>
      </c>
      <c r="F46" s="16">
        <f>2</f>
        <v>2</v>
      </c>
      <c r="G46" s="16">
        <f>2</f>
        <v>2</v>
      </c>
      <c r="H46" s="16">
        <f>2</f>
        <v>2</v>
      </c>
      <c r="AF46" s="9" t="str">
        <f t="shared" si="1"/>
        <v>OK</v>
      </c>
      <c r="AG46" s="13">
        <f t="shared" si="2"/>
        <v>14.375</v>
      </c>
      <c r="AH46" s="13">
        <f t="shared" si="2"/>
        <v>2</v>
      </c>
      <c r="AI46" s="13">
        <f t="shared" si="2"/>
        <v>2</v>
      </c>
      <c r="AJ46" s="13">
        <f t="shared" si="2"/>
        <v>2</v>
      </c>
      <c r="AQ46" s="17">
        <f>E46</f>
        <v>14.375</v>
      </c>
      <c r="AR46" s="17">
        <f>F46</f>
        <v>2</v>
      </c>
      <c r="AS46" s="17">
        <f>G46</f>
        <v>2</v>
      </c>
      <c r="AT46" s="17">
        <f>H46</f>
        <v>2</v>
      </c>
    </row>
    <row r="47" spans="1:46" x14ac:dyDescent="0.2">
      <c r="A47" s="10">
        <v>39</v>
      </c>
      <c r="B47" s="10"/>
      <c r="C47" s="10"/>
      <c r="D47" s="10"/>
      <c r="E47" s="16"/>
      <c r="F47" s="16"/>
      <c r="G47" s="16"/>
      <c r="H47" s="16"/>
      <c r="X47" s="9">
        <f>E47*'[1]Sector and category'!$O20</f>
        <v>0</v>
      </c>
      <c r="Y47" s="9">
        <f>F47*'[1]Sector and category'!$O20</f>
        <v>0</v>
      </c>
      <c r="Z47" s="9">
        <f>G47*'[1]Sector and category'!$O20</f>
        <v>0</v>
      </c>
      <c r="AA47" s="9">
        <f>H47*'[1]Sector and category'!$O20</f>
        <v>0</v>
      </c>
      <c r="AB47" s="9">
        <f>E47*'[1]Sector and category'!$P20</f>
        <v>0</v>
      </c>
      <c r="AC47" s="9">
        <f>F47*'[1]Sector and category'!$P20</f>
        <v>0</v>
      </c>
      <c r="AD47" s="9">
        <f>G47*'[1]Sector and category'!$P20</f>
        <v>0</v>
      </c>
      <c r="AE47" s="9">
        <f>H47*'[1]Sector and category'!$P20</f>
        <v>0</v>
      </c>
      <c r="AF47" s="9" t="str">
        <f t="shared" si="1"/>
        <v>OK</v>
      </c>
      <c r="AG47" s="13">
        <f t="shared" si="2"/>
        <v>0</v>
      </c>
      <c r="AH47" s="13">
        <f t="shared" si="2"/>
        <v>0</v>
      </c>
      <c r="AI47" s="13">
        <f t="shared" si="2"/>
        <v>0</v>
      </c>
      <c r="AJ47" s="13">
        <f t="shared" si="2"/>
        <v>0</v>
      </c>
    </row>
    <row r="48" spans="1:46" x14ac:dyDescent="0.2">
      <c r="A48" s="10">
        <v>40</v>
      </c>
      <c r="B48" s="10"/>
      <c r="C48" s="10"/>
      <c r="D48" s="10"/>
      <c r="E48" s="16"/>
      <c r="F48" s="16"/>
      <c r="G48" s="16"/>
      <c r="H48" s="16"/>
      <c r="X48" s="9">
        <f>E48*'[1]Sector and category'!$O20</f>
        <v>0</v>
      </c>
      <c r="Y48" s="9">
        <f>F48*'[1]Sector and category'!$O20</f>
        <v>0</v>
      </c>
      <c r="Z48" s="9">
        <f>G48*'[1]Sector and category'!$O20</f>
        <v>0</v>
      </c>
      <c r="AA48" s="9">
        <f>H48*'[1]Sector and category'!$O20</f>
        <v>0</v>
      </c>
      <c r="AB48" s="9">
        <f>E48*'[1]Sector and category'!$P20</f>
        <v>0</v>
      </c>
      <c r="AC48" s="9">
        <f>F48*'[1]Sector and category'!$P20</f>
        <v>0</v>
      </c>
      <c r="AD48" s="9">
        <f>G48*'[1]Sector and category'!$P20</f>
        <v>0</v>
      </c>
      <c r="AE48" s="9">
        <f>H48*'[1]Sector and category'!$P20</f>
        <v>0</v>
      </c>
      <c r="AF48" s="9" t="str">
        <f t="shared" si="1"/>
        <v>OK</v>
      </c>
      <c r="AG48" s="13">
        <f t="shared" si="2"/>
        <v>0</v>
      </c>
      <c r="AH48" s="13">
        <f t="shared" si="2"/>
        <v>0</v>
      </c>
      <c r="AI48" s="13">
        <f t="shared" si="2"/>
        <v>0</v>
      </c>
      <c r="AJ48" s="13">
        <f t="shared" si="2"/>
        <v>0</v>
      </c>
    </row>
    <row r="49" spans="1:50" x14ac:dyDescent="0.2">
      <c r="A49" s="10">
        <v>41</v>
      </c>
      <c r="B49" s="10"/>
      <c r="C49" s="10"/>
      <c r="D49" s="10"/>
      <c r="E49" s="16"/>
      <c r="F49" s="16"/>
      <c r="G49" s="16"/>
      <c r="H49" s="16"/>
      <c r="X49" s="17">
        <f>E49</f>
        <v>0</v>
      </c>
      <c r="Y49" s="17">
        <f>F49</f>
        <v>0</v>
      </c>
      <c r="Z49" s="17">
        <f>G49</f>
        <v>0</v>
      </c>
      <c r="AA49" s="17">
        <f>H49</f>
        <v>0</v>
      </c>
      <c r="AF49" s="9" t="str">
        <f t="shared" si="1"/>
        <v>OK</v>
      </c>
      <c r="AG49" s="13">
        <f t="shared" si="2"/>
        <v>0</v>
      </c>
      <c r="AH49" s="13">
        <f t="shared" si="2"/>
        <v>0</v>
      </c>
      <c r="AI49" s="13">
        <f t="shared" si="2"/>
        <v>0</v>
      </c>
      <c r="AJ49" s="13">
        <f t="shared" si="2"/>
        <v>0</v>
      </c>
    </row>
    <row r="50" spans="1:50" x14ac:dyDescent="0.2">
      <c r="A50" s="10">
        <v>42</v>
      </c>
      <c r="B50" s="10"/>
      <c r="C50" s="10"/>
      <c r="D50" s="10"/>
      <c r="E50" s="16"/>
      <c r="F50" s="16"/>
      <c r="G50" s="16"/>
      <c r="H50" s="16"/>
      <c r="AF50" s="9" t="str">
        <f t="shared" si="1"/>
        <v>OK</v>
      </c>
      <c r="AG50" s="13">
        <f t="shared" si="2"/>
        <v>0</v>
      </c>
      <c r="AH50" s="13">
        <f t="shared" si="2"/>
        <v>0</v>
      </c>
      <c r="AI50" s="13">
        <f t="shared" si="2"/>
        <v>0</v>
      </c>
      <c r="AJ50" s="13">
        <f t="shared" si="2"/>
        <v>0</v>
      </c>
      <c r="AU50" s="17">
        <f>E50</f>
        <v>0</v>
      </c>
      <c r="AV50" s="17">
        <f>F50</f>
        <v>0</v>
      </c>
      <c r="AW50" s="17">
        <f>G50</f>
        <v>0</v>
      </c>
      <c r="AX50" s="17">
        <f>H50</f>
        <v>0</v>
      </c>
    </row>
    <row r="51" spans="1:50" s="22" customFormat="1" x14ac:dyDescent="0.2">
      <c r="A51" s="20"/>
      <c r="B51" s="21">
        <f>SUM(B40:B50)</f>
        <v>0</v>
      </c>
      <c r="C51" s="21">
        <f t="shared" ref="C51:D51" si="12">SUM(C40:C50)</f>
        <v>0</v>
      </c>
      <c r="D51" s="21">
        <f t="shared" si="12"/>
        <v>0</v>
      </c>
      <c r="E51" s="21">
        <f>SUM(E40:E50)</f>
        <v>27.875</v>
      </c>
      <c r="F51" s="21">
        <f t="shared" ref="F51:H51" si="13">SUM(F40:F50)</f>
        <v>4</v>
      </c>
      <c r="G51" s="21">
        <f t="shared" si="13"/>
        <v>4</v>
      </c>
      <c r="H51" s="21">
        <f t="shared" si="13"/>
        <v>4</v>
      </c>
      <c r="I51" s="25"/>
      <c r="P51" s="9"/>
      <c r="AF51" s="9" t="str">
        <f t="shared" si="1"/>
        <v>not</v>
      </c>
      <c r="AG51" s="13">
        <f t="shared" si="2"/>
        <v>0</v>
      </c>
      <c r="AH51" s="13">
        <f t="shared" si="2"/>
        <v>0</v>
      </c>
      <c r="AI51" s="13">
        <f t="shared" si="2"/>
        <v>0</v>
      </c>
      <c r="AJ51" s="13">
        <f t="shared" si="2"/>
        <v>0</v>
      </c>
    </row>
    <row r="52" spans="1:50" x14ac:dyDescent="0.2">
      <c r="A52" s="10"/>
      <c r="B52" s="10"/>
      <c r="C52" s="10"/>
      <c r="D52" s="10"/>
      <c r="E52" s="10"/>
      <c r="F52" s="10"/>
      <c r="G52" s="10"/>
      <c r="H52" s="10"/>
      <c r="AF52" s="9" t="str">
        <f t="shared" si="1"/>
        <v>OK</v>
      </c>
      <c r="AG52" s="13">
        <f t="shared" si="2"/>
        <v>0</v>
      </c>
      <c r="AH52" s="13">
        <f t="shared" si="2"/>
        <v>0</v>
      </c>
      <c r="AI52" s="13">
        <f t="shared" si="2"/>
        <v>0</v>
      </c>
      <c r="AJ52" s="13">
        <f t="shared" si="2"/>
        <v>0</v>
      </c>
    </row>
    <row r="53" spans="1:50" x14ac:dyDescent="0.2">
      <c r="A53" s="10">
        <v>43</v>
      </c>
      <c r="B53" s="10"/>
      <c r="C53" s="10"/>
      <c r="D53" s="10"/>
      <c r="E53" s="24">
        <v>3.15</v>
      </c>
      <c r="F53" s="24">
        <v>3.15</v>
      </c>
      <c r="G53" s="24">
        <v>3</v>
      </c>
      <c r="H53" s="24">
        <v>3</v>
      </c>
      <c r="J53" s="32">
        <f>F53</f>
        <v>3.15</v>
      </c>
      <c r="K53" s="32">
        <f>G53</f>
        <v>3</v>
      </c>
      <c r="P53" s="9">
        <f>E53*'[1]Sector and category'!$N8</f>
        <v>1.307875259519274</v>
      </c>
      <c r="Q53" s="9">
        <f>F53*'[1]Sector and category'!$N8</f>
        <v>1.307875259519274</v>
      </c>
      <c r="R53" s="9">
        <f>G53*'[1]Sector and category'!$N8</f>
        <v>1.2455954852564513</v>
      </c>
      <c r="S53" s="9">
        <f>H53*'[1]Sector and category'!$N8</f>
        <v>1.2455954852564513</v>
      </c>
      <c r="T53" s="9">
        <f>E53*'[1]Sector and category'!$O8</f>
        <v>1.5108679180668221</v>
      </c>
      <c r="U53" s="9">
        <f>F53*'[1]Sector and category'!$O8</f>
        <v>1.5108679180668221</v>
      </c>
      <c r="V53" s="9">
        <f>G53*'[1]Sector and category'!$O8</f>
        <v>1.438921826730307</v>
      </c>
      <c r="W53" s="9">
        <f>H53*'[1]Sector and category'!$O8</f>
        <v>1.438921826730307</v>
      </c>
      <c r="X53" s="9">
        <f>E53*'[1]Sector and category'!$P8</f>
        <v>0.2722929731812247</v>
      </c>
      <c r="Y53" s="9">
        <f>F53*'[1]Sector and category'!$P8</f>
        <v>0.2722929731812247</v>
      </c>
      <c r="Z53" s="9">
        <f>G53*'[1]Sector and category'!$P8</f>
        <v>0.25932664112497594</v>
      </c>
      <c r="AA53" s="9">
        <f>H53*'[1]Sector and category'!$P8</f>
        <v>0.25932664112497594</v>
      </c>
      <c r="AB53" s="9">
        <f>E53*'[1]Sector and category'!$Q8</f>
        <v>5.8963849232679097E-2</v>
      </c>
      <c r="AC53" s="9">
        <f>F53*'[1]Sector and category'!$Q8</f>
        <v>5.8963849232679097E-2</v>
      </c>
      <c r="AD53" s="9">
        <f>G53*'[1]Sector and category'!$Q8</f>
        <v>5.6156046888265809E-2</v>
      </c>
      <c r="AE53" s="9">
        <f>H53*'[1]Sector and category'!$Q8</f>
        <v>5.6156046888265809E-2</v>
      </c>
      <c r="AF53" s="9" t="str">
        <f t="shared" si="1"/>
        <v>OK</v>
      </c>
      <c r="AG53" s="13">
        <f t="shared" si="2"/>
        <v>3.15</v>
      </c>
      <c r="AH53" s="13">
        <f t="shared" si="2"/>
        <v>3.15</v>
      </c>
      <c r="AI53" s="13">
        <f t="shared" si="2"/>
        <v>3</v>
      </c>
      <c r="AJ53" s="13">
        <f t="shared" si="2"/>
        <v>3</v>
      </c>
    </row>
    <row r="54" spans="1:50" x14ac:dyDescent="0.2">
      <c r="A54" s="10">
        <v>44</v>
      </c>
      <c r="B54" s="10"/>
      <c r="C54" s="10"/>
      <c r="D54" s="10"/>
      <c r="E54" s="24"/>
      <c r="F54" s="24"/>
      <c r="G54" s="24"/>
      <c r="H54" s="24"/>
      <c r="P54" s="9">
        <f>E54*'[1]Sector and category'!$N8</f>
        <v>0</v>
      </c>
      <c r="Q54" s="9">
        <f>F54*'[1]Sector and category'!$N8</f>
        <v>0</v>
      </c>
      <c r="R54" s="9">
        <f>G54*'[1]Sector and category'!$N8</f>
        <v>0</v>
      </c>
      <c r="S54" s="9">
        <f>H54*'[1]Sector and category'!$N8</f>
        <v>0</v>
      </c>
      <c r="T54" s="9">
        <f>E54*'[1]Sector and category'!$O8</f>
        <v>0</v>
      </c>
      <c r="U54" s="9">
        <f>F54*'[1]Sector and category'!$O8</f>
        <v>0</v>
      </c>
      <c r="V54" s="9">
        <f>G54*'[1]Sector and category'!$O8</f>
        <v>0</v>
      </c>
      <c r="W54" s="9">
        <f>H54*'[1]Sector and category'!$O8</f>
        <v>0</v>
      </c>
      <c r="X54" s="9">
        <f>E54*'[1]Sector and category'!$P8</f>
        <v>0</v>
      </c>
      <c r="Y54" s="9">
        <f>F54*'[1]Sector and category'!$P8</f>
        <v>0</v>
      </c>
      <c r="Z54" s="9">
        <f>G54*'[1]Sector and category'!$P8</f>
        <v>0</v>
      </c>
      <c r="AA54" s="9">
        <f>H54*'[1]Sector and category'!$P8</f>
        <v>0</v>
      </c>
      <c r="AB54" s="9">
        <f>E54*'[1]Sector and category'!$Q8</f>
        <v>0</v>
      </c>
      <c r="AC54" s="9">
        <f>F54*'[1]Sector and category'!$Q8</f>
        <v>0</v>
      </c>
      <c r="AD54" s="9">
        <f>G54*'[1]Sector and category'!$Q8</f>
        <v>0</v>
      </c>
      <c r="AE54" s="9">
        <f>H54*'[1]Sector and category'!$Q8</f>
        <v>0</v>
      </c>
      <c r="AF54" s="9" t="str">
        <f t="shared" si="1"/>
        <v>OK</v>
      </c>
      <c r="AG54" s="13">
        <f t="shared" si="2"/>
        <v>0</v>
      </c>
      <c r="AH54" s="13">
        <f t="shared" si="2"/>
        <v>0</v>
      </c>
      <c r="AI54" s="13">
        <f t="shared" si="2"/>
        <v>0</v>
      </c>
      <c r="AJ54" s="13">
        <f t="shared" si="2"/>
        <v>0</v>
      </c>
    </row>
    <row r="55" spans="1:50" x14ac:dyDescent="0.2">
      <c r="A55" s="10">
        <v>45</v>
      </c>
      <c r="B55" s="10"/>
      <c r="C55" s="10"/>
      <c r="D55" s="10"/>
      <c r="E55" s="16"/>
      <c r="F55" s="16"/>
      <c r="G55" s="16"/>
      <c r="H55" s="16"/>
      <c r="P55" s="9">
        <f>E55*'[1]Sector and category'!$N8</f>
        <v>0</v>
      </c>
      <c r="Q55" s="9">
        <f>F55*'[1]Sector and category'!$N8</f>
        <v>0</v>
      </c>
      <c r="R55" s="9">
        <f>G55*'[1]Sector and category'!$N8</f>
        <v>0</v>
      </c>
      <c r="S55" s="9">
        <f>H55*'[1]Sector and category'!$N8</f>
        <v>0</v>
      </c>
      <c r="T55" s="9">
        <f>E55*'[1]Sector and category'!$O8</f>
        <v>0</v>
      </c>
      <c r="U55" s="9">
        <f>F55*'[1]Sector and category'!$O8</f>
        <v>0</v>
      </c>
      <c r="V55" s="9">
        <f>G55*'[1]Sector and category'!$O8</f>
        <v>0</v>
      </c>
      <c r="W55" s="9">
        <f>H55*'[1]Sector and category'!$O8</f>
        <v>0</v>
      </c>
      <c r="X55" s="9">
        <f>E55*'[1]Sector and category'!$P8</f>
        <v>0</v>
      </c>
      <c r="Y55" s="9">
        <f>F55*'[1]Sector and category'!$P8</f>
        <v>0</v>
      </c>
      <c r="Z55" s="9">
        <f>G55*'[1]Sector and category'!$P8</f>
        <v>0</v>
      </c>
      <c r="AA55" s="9">
        <f>H55*'[1]Sector and category'!$P8</f>
        <v>0</v>
      </c>
      <c r="AB55" s="9">
        <f>E55*'[1]Sector and category'!$Q8</f>
        <v>0</v>
      </c>
      <c r="AC55" s="9">
        <f>F55*'[1]Sector and category'!$Q8</f>
        <v>0</v>
      </c>
      <c r="AD55" s="9">
        <f>G55*'[1]Sector and category'!$Q8</f>
        <v>0</v>
      </c>
      <c r="AE55" s="9">
        <f>H55*'[1]Sector and category'!$Q8</f>
        <v>0</v>
      </c>
      <c r="AF55" s="9" t="str">
        <f t="shared" si="1"/>
        <v>OK</v>
      </c>
      <c r="AG55" s="13">
        <f t="shared" si="2"/>
        <v>0</v>
      </c>
      <c r="AH55" s="13">
        <f t="shared" si="2"/>
        <v>0</v>
      </c>
      <c r="AI55" s="13">
        <f t="shared" si="2"/>
        <v>0</v>
      </c>
      <c r="AJ55" s="13">
        <f t="shared" si="2"/>
        <v>0</v>
      </c>
    </row>
    <row r="56" spans="1:50" x14ac:dyDescent="0.2">
      <c r="A56" s="10">
        <v>46</v>
      </c>
      <c r="B56" s="10"/>
      <c r="C56" s="10"/>
      <c r="D56" s="10"/>
      <c r="E56" s="16">
        <v>0.15</v>
      </c>
      <c r="F56" s="16">
        <v>0.15</v>
      </c>
      <c r="G56" s="16"/>
      <c r="H56" s="16"/>
      <c r="P56" s="9">
        <f>E56*'[1]Sector and category'!$N8</f>
        <v>6.2279774262822565E-2</v>
      </c>
      <c r="Q56" s="9">
        <f>F56*'[1]Sector and category'!$N8</f>
        <v>6.2279774262822565E-2</v>
      </c>
      <c r="R56" s="9">
        <f>G56*'[1]Sector and category'!$N8</f>
        <v>0</v>
      </c>
      <c r="S56" s="9">
        <f>H56*'[1]Sector and category'!$N8</f>
        <v>0</v>
      </c>
      <c r="T56" s="9">
        <f>E56*'[1]Sector and category'!$O8</f>
        <v>7.1946091336515347E-2</v>
      </c>
      <c r="U56" s="9">
        <f>F56*'[1]Sector and category'!$O8</f>
        <v>7.1946091336515347E-2</v>
      </c>
      <c r="V56" s="9">
        <f>G56*'[1]Sector and category'!$O8</f>
        <v>0</v>
      </c>
      <c r="W56" s="9">
        <f>H56*'[1]Sector and category'!$O8</f>
        <v>0</v>
      </c>
      <c r="X56" s="9">
        <f>E56*'[1]Sector and category'!$P8</f>
        <v>1.2966332056248796E-2</v>
      </c>
      <c r="Y56" s="9">
        <f>F56*'[1]Sector and category'!$P8</f>
        <v>1.2966332056248796E-2</v>
      </c>
      <c r="Z56" s="9">
        <f>G56*'[1]Sector and category'!$P8</f>
        <v>0</v>
      </c>
      <c r="AA56" s="9">
        <f>H56*'[1]Sector and category'!$P8</f>
        <v>0</v>
      </c>
      <c r="AB56" s="9">
        <f>E56*'[1]Sector and category'!$Q8</f>
        <v>2.8078023444132903E-3</v>
      </c>
      <c r="AC56" s="9">
        <f>F56*'[1]Sector and category'!$Q8</f>
        <v>2.8078023444132903E-3</v>
      </c>
      <c r="AD56" s="9">
        <f>G56*'[1]Sector and category'!$Q8</f>
        <v>0</v>
      </c>
      <c r="AE56" s="9">
        <f>H56*'[1]Sector and category'!$Q8</f>
        <v>0</v>
      </c>
      <c r="AF56" s="9" t="str">
        <f t="shared" si="1"/>
        <v>OK</v>
      </c>
      <c r="AG56" s="13">
        <f t="shared" si="2"/>
        <v>0.15000000000000002</v>
      </c>
      <c r="AH56" s="13">
        <f t="shared" si="2"/>
        <v>0.15000000000000002</v>
      </c>
      <c r="AI56" s="13">
        <f t="shared" si="2"/>
        <v>0</v>
      </c>
      <c r="AJ56" s="13">
        <f t="shared" si="2"/>
        <v>0</v>
      </c>
    </row>
    <row r="57" spans="1:50" x14ac:dyDescent="0.2">
      <c r="A57" s="10">
        <v>47</v>
      </c>
      <c r="B57" s="10"/>
      <c r="C57" s="10"/>
      <c r="D57" s="10"/>
      <c r="E57" s="16"/>
      <c r="F57" s="16"/>
      <c r="G57" s="16"/>
      <c r="H57" s="16"/>
      <c r="P57" s="9">
        <f>E57*'[1]Sector and category'!$N8</f>
        <v>0</v>
      </c>
      <c r="Q57" s="9">
        <f>F57*'[1]Sector and category'!$N8</f>
        <v>0</v>
      </c>
      <c r="R57" s="9">
        <f>G57*'[1]Sector and category'!$N8</f>
        <v>0</v>
      </c>
      <c r="S57" s="9">
        <f>H57*'[1]Sector and category'!$N8</f>
        <v>0</v>
      </c>
      <c r="T57" s="9">
        <f>E57*'[1]Sector and category'!$O8</f>
        <v>0</v>
      </c>
      <c r="U57" s="9">
        <f>F57*'[1]Sector and category'!$O8</f>
        <v>0</v>
      </c>
      <c r="V57" s="9">
        <f>G57*'[1]Sector and category'!$O8</f>
        <v>0</v>
      </c>
      <c r="W57" s="9">
        <f>H57*'[1]Sector and category'!$O8</f>
        <v>0</v>
      </c>
      <c r="X57" s="9">
        <f>E57*'[1]Sector and category'!$P8</f>
        <v>0</v>
      </c>
      <c r="Y57" s="9">
        <f>F57*'[1]Sector and category'!$P8</f>
        <v>0</v>
      </c>
      <c r="Z57" s="9">
        <f>G57*'[1]Sector and category'!$P8</f>
        <v>0</v>
      </c>
      <c r="AA57" s="9">
        <f>H57*'[1]Sector and category'!$P8</f>
        <v>0</v>
      </c>
      <c r="AB57" s="9">
        <f>E57*'[1]Sector and category'!$Q8</f>
        <v>0</v>
      </c>
      <c r="AC57" s="9">
        <f>F57*'[1]Sector and category'!$Q8</f>
        <v>0</v>
      </c>
      <c r="AD57" s="9">
        <f>G57*'[1]Sector and category'!$Q8</f>
        <v>0</v>
      </c>
      <c r="AE57" s="9">
        <f>H57*'[1]Sector and category'!$Q8</f>
        <v>0</v>
      </c>
      <c r="AF57" s="9" t="str">
        <f t="shared" si="1"/>
        <v>OK</v>
      </c>
      <c r="AG57" s="13">
        <f t="shared" si="2"/>
        <v>0</v>
      </c>
      <c r="AH57" s="13">
        <f t="shared" si="2"/>
        <v>0</v>
      </c>
      <c r="AI57" s="13">
        <f t="shared" si="2"/>
        <v>0</v>
      </c>
      <c r="AJ57" s="13">
        <f t="shared" si="2"/>
        <v>0</v>
      </c>
    </row>
    <row r="58" spans="1:50" x14ac:dyDescent="0.2">
      <c r="A58" s="10">
        <v>48</v>
      </c>
      <c r="B58" s="10"/>
      <c r="C58" s="10"/>
      <c r="D58" s="10"/>
      <c r="E58" s="16">
        <v>4</v>
      </c>
      <c r="F58" s="16">
        <v>4</v>
      </c>
      <c r="G58" s="16">
        <v>4</v>
      </c>
      <c r="H58" s="16">
        <v>4</v>
      </c>
      <c r="P58" s="9">
        <f>E58*'[1]Sector and category'!$N8</f>
        <v>1.6607939803419351</v>
      </c>
      <c r="Q58" s="9">
        <f>F58*'[1]Sector and category'!$N8</f>
        <v>1.6607939803419351</v>
      </c>
      <c r="R58" s="9">
        <f>G58*'[1]Sector and category'!$N8</f>
        <v>1.6607939803419351</v>
      </c>
      <c r="S58" s="9">
        <f>H58*'[1]Sector and category'!$N8</f>
        <v>1.6607939803419351</v>
      </c>
      <c r="T58" s="9">
        <f>E58*'[1]Sector and category'!$O8</f>
        <v>1.9185624356404092</v>
      </c>
      <c r="U58" s="9">
        <f>F58*'[1]Sector and category'!$O8</f>
        <v>1.9185624356404092</v>
      </c>
      <c r="V58" s="9">
        <f>G58*'[1]Sector and category'!$O8</f>
        <v>1.9185624356404092</v>
      </c>
      <c r="W58" s="9">
        <f>H58*'[1]Sector and category'!$O8</f>
        <v>1.9185624356404092</v>
      </c>
      <c r="X58" s="9">
        <f>E58*'[1]Sector and category'!$P8</f>
        <v>0.34576885483330122</v>
      </c>
      <c r="Y58" s="9">
        <f>F58*'[1]Sector and category'!$P8</f>
        <v>0.34576885483330122</v>
      </c>
      <c r="Z58" s="9">
        <f>G58*'[1]Sector and category'!$P8</f>
        <v>0.34576885483330122</v>
      </c>
      <c r="AA58" s="9">
        <f>H58*'[1]Sector and category'!$P8</f>
        <v>0.34576885483330122</v>
      </c>
      <c r="AB58" s="9">
        <f>E58*'[1]Sector and category'!$Q8</f>
        <v>7.4874729184354408E-2</v>
      </c>
      <c r="AC58" s="9">
        <f>F58*'[1]Sector and category'!$Q8</f>
        <v>7.4874729184354408E-2</v>
      </c>
      <c r="AD58" s="9">
        <f>G58*'[1]Sector and category'!$Q8</f>
        <v>7.4874729184354408E-2</v>
      </c>
      <c r="AE58" s="9">
        <f>H58*'[1]Sector and category'!$Q8</f>
        <v>7.4874729184354408E-2</v>
      </c>
      <c r="AF58" s="9" t="str">
        <f t="shared" si="1"/>
        <v>OK</v>
      </c>
      <c r="AG58" s="13">
        <f t="shared" si="2"/>
        <v>4</v>
      </c>
      <c r="AH58" s="13">
        <f t="shared" si="2"/>
        <v>4</v>
      </c>
      <c r="AI58" s="13">
        <f t="shared" si="2"/>
        <v>4</v>
      </c>
      <c r="AJ58" s="13">
        <f t="shared" si="2"/>
        <v>4</v>
      </c>
    </row>
    <row r="59" spans="1:50" x14ac:dyDescent="0.2">
      <c r="A59" s="10">
        <v>49</v>
      </c>
      <c r="B59" s="10"/>
      <c r="C59" s="10"/>
      <c r="D59" s="10"/>
      <c r="E59" s="16"/>
      <c r="F59" s="16"/>
      <c r="G59" s="16"/>
      <c r="H59" s="16"/>
      <c r="N59" s="9" t="s">
        <v>216</v>
      </c>
      <c r="T59" s="9">
        <f>E59*'[1]Sector and category'!$O12</f>
        <v>0</v>
      </c>
      <c r="U59" s="9">
        <f>F59*'[1]Sector and category'!$O12</f>
        <v>0</v>
      </c>
      <c r="V59" s="9">
        <f>G59*'[1]Sector and category'!$O12</f>
        <v>0</v>
      </c>
      <c r="W59" s="9">
        <f>H59*'[1]Sector and category'!$O12</f>
        <v>0</v>
      </c>
      <c r="X59" s="9">
        <f>E59*'[1]Sector and category'!$P12</f>
        <v>0</v>
      </c>
      <c r="Y59" s="9">
        <f>F59*'[1]Sector and category'!$P12</f>
        <v>0</v>
      </c>
      <c r="Z59" s="9">
        <f>G59*'[1]Sector and category'!$P12</f>
        <v>0</v>
      </c>
      <c r="AA59" s="9">
        <f>H59*'[1]Sector and category'!$P12</f>
        <v>0</v>
      </c>
      <c r="AF59" s="9" t="str">
        <f t="shared" si="1"/>
        <v>OK</v>
      </c>
      <c r="AG59" s="13">
        <f t="shared" si="2"/>
        <v>0</v>
      </c>
      <c r="AH59" s="13">
        <f t="shared" si="2"/>
        <v>0</v>
      </c>
      <c r="AI59" s="13">
        <f t="shared" si="2"/>
        <v>0</v>
      </c>
      <c r="AJ59" s="13">
        <f t="shared" si="2"/>
        <v>0</v>
      </c>
    </row>
    <row r="60" spans="1:50" s="22" customFormat="1" x14ac:dyDescent="0.2">
      <c r="A60" s="20"/>
      <c r="B60" s="21">
        <f t="shared" ref="B60:E60" si="14">SUM(B53:B59)</f>
        <v>0</v>
      </c>
      <c r="C60" s="21">
        <f t="shared" si="14"/>
        <v>0</v>
      </c>
      <c r="D60" s="21">
        <f t="shared" si="14"/>
        <v>0</v>
      </c>
      <c r="E60" s="21">
        <f t="shared" si="14"/>
        <v>7.3</v>
      </c>
      <c r="F60" s="21">
        <f t="shared" ref="F60:H60" si="15">SUM(F53:F59)</f>
        <v>7.3</v>
      </c>
      <c r="G60" s="21">
        <f t="shared" si="15"/>
        <v>7</v>
      </c>
      <c r="H60" s="21">
        <f t="shared" si="15"/>
        <v>7</v>
      </c>
      <c r="P60" s="9"/>
      <c r="AF60" s="9" t="str">
        <f t="shared" si="1"/>
        <v>not</v>
      </c>
      <c r="AG60" s="13">
        <f t="shared" si="2"/>
        <v>0</v>
      </c>
      <c r="AH60" s="13">
        <f t="shared" si="2"/>
        <v>0</v>
      </c>
      <c r="AI60" s="13">
        <f t="shared" si="2"/>
        <v>0</v>
      </c>
      <c r="AJ60" s="13">
        <f t="shared" si="2"/>
        <v>0</v>
      </c>
    </row>
    <row r="61" spans="1:50" ht="15" x14ac:dyDescent="0.25">
      <c r="A61" s="10">
        <v>50</v>
      </c>
      <c r="B61" s="10"/>
      <c r="C61" s="10"/>
      <c r="D61" s="10"/>
      <c r="E61" s="16">
        <f>4+1.3+1+0.355</f>
        <v>6.6549999999999994</v>
      </c>
      <c r="F61" s="36"/>
      <c r="G61" s="36"/>
      <c r="H61" s="36"/>
      <c r="AF61" s="9" t="str">
        <f t="shared" si="1"/>
        <v>OK</v>
      </c>
      <c r="AG61" s="13">
        <f t="shared" si="2"/>
        <v>6.6549999999999994</v>
      </c>
      <c r="AH61" s="13">
        <f t="shared" si="2"/>
        <v>0</v>
      </c>
      <c r="AI61" s="13">
        <f t="shared" si="2"/>
        <v>0</v>
      </c>
      <c r="AJ61" s="13">
        <f t="shared" si="2"/>
        <v>0</v>
      </c>
      <c r="AU61" s="17">
        <f>E61</f>
        <v>6.6549999999999994</v>
      </c>
      <c r="AV61" s="17">
        <f t="shared" ref="AV61:AX70" si="16">F61</f>
        <v>0</v>
      </c>
      <c r="AW61" s="17">
        <f t="shared" si="16"/>
        <v>0</v>
      </c>
      <c r="AX61" s="17">
        <f t="shared" si="16"/>
        <v>0</v>
      </c>
    </row>
    <row r="62" spans="1:50" ht="15" x14ac:dyDescent="0.25">
      <c r="A62" s="10">
        <v>51</v>
      </c>
      <c r="B62" s="10"/>
      <c r="C62" s="10"/>
      <c r="D62" s="10"/>
      <c r="E62" s="16">
        <v>1</v>
      </c>
      <c r="F62" s="36">
        <v>1</v>
      </c>
      <c r="G62" s="36">
        <v>1</v>
      </c>
      <c r="H62" s="36">
        <v>1</v>
      </c>
      <c r="AF62" s="9" t="str">
        <f t="shared" si="1"/>
        <v>OK</v>
      </c>
      <c r="AG62" s="13">
        <f t="shared" si="2"/>
        <v>1</v>
      </c>
      <c r="AH62" s="13">
        <f t="shared" si="2"/>
        <v>1</v>
      </c>
      <c r="AI62" s="13">
        <f t="shared" si="2"/>
        <v>1</v>
      </c>
      <c r="AJ62" s="13">
        <f t="shared" si="2"/>
        <v>1</v>
      </c>
      <c r="AU62" s="17">
        <f t="shared" ref="AU62:AU70" si="17">E62</f>
        <v>1</v>
      </c>
      <c r="AV62" s="17">
        <f t="shared" si="16"/>
        <v>1</v>
      </c>
      <c r="AW62" s="17">
        <f t="shared" si="16"/>
        <v>1</v>
      </c>
      <c r="AX62" s="17">
        <f t="shared" si="16"/>
        <v>1</v>
      </c>
    </row>
    <row r="63" spans="1:50" ht="15" x14ac:dyDescent="0.25">
      <c r="A63" s="10">
        <v>52</v>
      </c>
      <c r="B63" s="10"/>
      <c r="C63" s="10"/>
      <c r="D63" s="10"/>
      <c r="E63" s="16">
        <v>1</v>
      </c>
      <c r="F63" s="36">
        <v>1</v>
      </c>
      <c r="G63" s="36">
        <v>1</v>
      </c>
      <c r="H63" s="36">
        <v>1</v>
      </c>
      <c r="AF63" s="9" t="str">
        <f t="shared" si="1"/>
        <v>OK</v>
      </c>
      <c r="AG63" s="13">
        <f t="shared" si="2"/>
        <v>1</v>
      </c>
      <c r="AH63" s="13">
        <f t="shared" si="2"/>
        <v>1</v>
      </c>
      <c r="AI63" s="13">
        <f t="shared" si="2"/>
        <v>1</v>
      </c>
      <c r="AJ63" s="13">
        <f t="shared" si="2"/>
        <v>1</v>
      </c>
      <c r="AU63" s="17">
        <f t="shared" si="17"/>
        <v>1</v>
      </c>
      <c r="AV63" s="17">
        <f t="shared" si="16"/>
        <v>1</v>
      </c>
      <c r="AW63" s="17">
        <f t="shared" si="16"/>
        <v>1</v>
      </c>
      <c r="AX63" s="17">
        <f t="shared" si="16"/>
        <v>1</v>
      </c>
    </row>
    <row r="64" spans="1:50" ht="15" x14ac:dyDescent="0.25">
      <c r="A64" s="10">
        <v>53</v>
      </c>
      <c r="B64" s="10"/>
      <c r="C64" s="10"/>
      <c r="D64" s="10"/>
      <c r="E64" s="16">
        <v>1</v>
      </c>
      <c r="F64" s="36">
        <v>1</v>
      </c>
      <c r="G64" s="36">
        <v>1</v>
      </c>
      <c r="H64" s="36">
        <v>1</v>
      </c>
      <c r="AF64" s="9" t="str">
        <f t="shared" si="1"/>
        <v>OK</v>
      </c>
      <c r="AG64" s="13">
        <f t="shared" si="2"/>
        <v>1</v>
      </c>
      <c r="AH64" s="13">
        <f t="shared" si="2"/>
        <v>1</v>
      </c>
      <c r="AI64" s="13">
        <f t="shared" si="2"/>
        <v>1</v>
      </c>
      <c r="AJ64" s="13">
        <f t="shared" si="2"/>
        <v>1</v>
      </c>
      <c r="AU64" s="17">
        <f t="shared" si="17"/>
        <v>1</v>
      </c>
      <c r="AV64" s="17">
        <f t="shared" si="16"/>
        <v>1</v>
      </c>
      <c r="AW64" s="17">
        <f t="shared" si="16"/>
        <v>1</v>
      </c>
      <c r="AX64" s="17">
        <f t="shared" si="16"/>
        <v>1</v>
      </c>
    </row>
    <row r="65" spans="1:50" ht="15" x14ac:dyDescent="0.25">
      <c r="A65" s="10">
        <v>54</v>
      </c>
      <c r="B65" s="10"/>
      <c r="C65" s="10"/>
      <c r="D65" s="10"/>
      <c r="E65" s="16">
        <v>3</v>
      </c>
      <c r="F65" s="36">
        <v>3</v>
      </c>
      <c r="G65" s="36">
        <v>3</v>
      </c>
      <c r="H65" s="36">
        <v>3</v>
      </c>
      <c r="N65" s="9">
        <f>290*4</f>
        <v>1160</v>
      </c>
      <c r="AF65" s="9" t="str">
        <f t="shared" si="1"/>
        <v>OK</v>
      </c>
      <c r="AG65" s="13">
        <f t="shared" si="2"/>
        <v>3</v>
      </c>
      <c r="AH65" s="13">
        <f t="shared" si="2"/>
        <v>3</v>
      </c>
      <c r="AI65" s="13">
        <f t="shared" si="2"/>
        <v>3</v>
      </c>
      <c r="AJ65" s="13">
        <f t="shared" si="2"/>
        <v>3</v>
      </c>
      <c r="AU65" s="17">
        <f t="shared" si="17"/>
        <v>3</v>
      </c>
      <c r="AV65" s="17">
        <f t="shared" si="16"/>
        <v>3</v>
      </c>
      <c r="AW65" s="17">
        <f t="shared" si="16"/>
        <v>3</v>
      </c>
      <c r="AX65" s="17">
        <f t="shared" si="16"/>
        <v>3</v>
      </c>
    </row>
    <row r="66" spans="1:50" x14ac:dyDescent="0.2">
      <c r="A66" s="10">
        <v>55</v>
      </c>
      <c r="B66" s="10"/>
      <c r="C66" s="10"/>
      <c r="D66" s="10"/>
      <c r="E66" s="16">
        <f>1.3+1+0.355</f>
        <v>2.6549999999999998</v>
      </c>
      <c r="F66" s="16"/>
      <c r="G66" s="16"/>
      <c r="H66" s="16"/>
      <c r="N66" s="9">
        <f>113/0.4</f>
        <v>282.5</v>
      </c>
      <c r="AF66" s="9" t="str">
        <f t="shared" si="1"/>
        <v>OK</v>
      </c>
      <c r="AG66" s="13">
        <f t="shared" si="2"/>
        <v>2.6549999999999998</v>
      </c>
      <c r="AH66" s="13">
        <f t="shared" si="2"/>
        <v>0</v>
      </c>
      <c r="AI66" s="13">
        <f t="shared" si="2"/>
        <v>0</v>
      </c>
      <c r="AJ66" s="13">
        <f t="shared" si="2"/>
        <v>0</v>
      </c>
      <c r="AU66" s="17">
        <f t="shared" si="17"/>
        <v>2.6549999999999998</v>
      </c>
      <c r="AV66" s="17">
        <f t="shared" si="16"/>
        <v>0</v>
      </c>
      <c r="AW66" s="17">
        <f t="shared" si="16"/>
        <v>0</v>
      </c>
      <c r="AX66" s="17">
        <f t="shared" si="16"/>
        <v>0</v>
      </c>
    </row>
    <row r="67" spans="1:50" x14ac:dyDescent="0.2">
      <c r="A67" s="10">
        <v>56</v>
      </c>
      <c r="B67" s="10"/>
      <c r="C67" s="10"/>
      <c r="D67" s="10"/>
      <c r="E67" s="16">
        <f t="shared" ref="E67:E69" si="18">1.3+1+0.355</f>
        <v>2.6549999999999998</v>
      </c>
      <c r="F67" s="16"/>
      <c r="G67" s="16"/>
      <c r="H67" s="16"/>
      <c r="AF67" s="9" t="str">
        <f t="shared" si="1"/>
        <v>OK</v>
      </c>
      <c r="AG67" s="13">
        <f t="shared" si="2"/>
        <v>2.6549999999999998</v>
      </c>
      <c r="AH67" s="13">
        <f t="shared" si="2"/>
        <v>0</v>
      </c>
      <c r="AI67" s="13">
        <f t="shared" si="2"/>
        <v>0</v>
      </c>
      <c r="AJ67" s="13">
        <f t="shared" si="2"/>
        <v>0</v>
      </c>
      <c r="AU67" s="17">
        <f t="shared" si="17"/>
        <v>2.6549999999999998</v>
      </c>
      <c r="AV67" s="17">
        <f t="shared" si="16"/>
        <v>0</v>
      </c>
      <c r="AW67" s="17">
        <f t="shared" si="16"/>
        <v>0</v>
      </c>
      <c r="AX67" s="17">
        <f t="shared" si="16"/>
        <v>0</v>
      </c>
    </row>
    <row r="68" spans="1:50" x14ac:dyDescent="0.2">
      <c r="A68" s="10">
        <v>57</v>
      </c>
      <c r="B68" s="10"/>
      <c r="C68" s="10"/>
      <c r="D68" s="10"/>
      <c r="E68" s="16">
        <f t="shared" si="18"/>
        <v>2.6549999999999998</v>
      </c>
      <c r="F68" s="16"/>
      <c r="G68" s="16"/>
      <c r="H68" s="16"/>
      <c r="AF68" s="9" t="str">
        <f t="shared" si="1"/>
        <v>OK</v>
      </c>
      <c r="AG68" s="13">
        <f t="shared" si="2"/>
        <v>2.6549999999999998</v>
      </c>
      <c r="AH68" s="13">
        <f t="shared" si="2"/>
        <v>0</v>
      </c>
      <c r="AI68" s="13">
        <f t="shared" si="2"/>
        <v>0</v>
      </c>
      <c r="AJ68" s="13">
        <f t="shared" si="2"/>
        <v>0</v>
      </c>
      <c r="AU68" s="17">
        <f t="shared" si="17"/>
        <v>2.6549999999999998</v>
      </c>
      <c r="AV68" s="17">
        <f t="shared" si="16"/>
        <v>0</v>
      </c>
      <c r="AW68" s="17">
        <f t="shared" si="16"/>
        <v>0</v>
      </c>
      <c r="AX68" s="17">
        <f t="shared" si="16"/>
        <v>0</v>
      </c>
    </row>
    <row r="69" spans="1:50" x14ac:dyDescent="0.2">
      <c r="A69" s="10">
        <v>58</v>
      </c>
      <c r="B69" s="10"/>
      <c r="C69" s="10"/>
      <c r="D69" s="10"/>
      <c r="E69" s="16">
        <f t="shared" si="18"/>
        <v>2.6549999999999998</v>
      </c>
      <c r="F69" s="16"/>
      <c r="G69" s="16"/>
      <c r="H69" s="16"/>
      <c r="AF69" s="9" t="str">
        <f t="shared" ref="AF69:AF83" si="19">IF(AG69=E69,"OK","not")</f>
        <v>OK</v>
      </c>
      <c r="AG69" s="13">
        <f t="shared" si="2"/>
        <v>2.6549999999999998</v>
      </c>
      <c r="AH69" s="13">
        <f t="shared" si="2"/>
        <v>0</v>
      </c>
      <c r="AI69" s="13">
        <f t="shared" si="2"/>
        <v>0</v>
      </c>
      <c r="AJ69" s="13">
        <f t="shared" si="2"/>
        <v>0</v>
      </c>
      <c r="AU69" s="17">
        <f t="shared" si="17"/>
        <v>2.6549999999999998</v>
      </c>
      <c r="AV69" s="17">
        <f t="shared" si="16"/>
        <v>0</v>
      </c>
      <c r="AW69" s="17">
        <f t="shared" si="16"/>
        <v>0</v>
      </c>
      <c r="AX69" s="17">
        <f t="shared" si="16"/>
        <v>0</v>
      </c>
    </row>
    <row r="70" spans="1:50" x14ac:dyDescent="0.2">
      <c r="A70" s="10">
        <v>59</v>
      </c>
      <c r="B70" s="10"/>
      <c r="C70" s="10"/>
      <c r="D70" s="10"/>
      <c r="E70" s="16"/>
      <c r="F70" s="16"/>
      <c r="G70" s="16"/>
      <c r="H70" s="16"/>
      <c r="AF70" s="9" t="str">
        <f t="shared" si="19"/>
        <v>OK</v>
      </c>
      <c r="AG70" s="13">
        <f t="shared" si="2"/>
        <v>0</v>
      </c>
      <c r="AH70" s="13">
        <f t="shared" si="2"/>
        <v>0</v>
      </c>
      <c r="AI70" s="13">
        <f t="shared" si="2"/>
        <v>0</v>
      </c>
      <c r="AJ70" s="13">
        <f t="shared" si="2"/>
        <v>0</v>
      </c>
      <c r="AU70" s="17">
        <f t="shared" si="17"/>
        <v>0</v>
      </c>
      <c r="AV70" s="17">
        <f t="shared" si="16"/>
        <v>0</v>
      </c>
      <c r="AW70" s="17">
        <f t="shared" si="16"/>
        <v>0</v>
      </c>
      <c r="AX70" s="17">
        <f t="shared" si="16"/>
        <v>0</v>
      </c>
    </row>
    <row r="71" spans="1:50" x14ac:dyDescent="0.2">
      <c r="A71" s="10">
        <v>60</v>
      </c>
      <c r="B71" s="10"/>
      <c r="C71" s="10"/>
      <c r="D71" s="10"/>
      <c r="E71" s="16"/>
      <c r="F71" s="16"/>
      <c r="G71" s="16"/>
      <c r="H71" s="16"/>
      <c r="P71" s="9" t="e">
        <f>E71*$AD87</f>
        <v>#DIV/0!</v>
      </c>
      <c r="Q71" s="9" t="e">
        <f>F71*$AD87</f>
        <v>#DIV/0!</v>
      </c>
      <c r="R71" s="9" t="e">
        <f>G71*$AD87</f>
        <v>#DIV/0!</v>
      </c>
      <c r="S71" s="9" t="e">
        <f>H71*$AD87</f>
        <v>#DIV/0!</v>
      </c>
      <c r="T71" s="9" t="e">
        <f>E71*$AE87</f>
        <v>#DIV/0!</v>
      </c>
      <c r="U71" s="9" t="e">
        <f>F71*$AE87</f>
        <v>#DIV/0!</v>
      </c>
      <c r="V71" s="9" t="e">
        <f>G71*$AE87</f>
        <v>#DIV/0!</v>
      </c>
      <c r="W71" s="9" t="e">
        <f>H71*$AE87</f>
        <v>#DIV/0!</v>
      </c>
      <c r="X71" s="9" t="e">
        <f>E71*$AF87</f>
        <v>#DIV/0!</v>
      </c>
      <c r="Y71" s="9" t="e">
        <f>F71*$AF87</f>
        <v>#DIV/0!</v>
      </c>
      <c r="Z71" s="9" t="e">
        <f>G71*$AF87</f>
        <v>#DIV/0!</v>
      </c>
      <c r="AA71" s="9" t="e">
        <f>H71*$AF87</f>
        <v>#DIV/0!</v>
      </c>
      <c r="AB71" s="9" t="e">
        <f>E71*$AG87</f>
        <v>#DIV/0!</v>
      </c>
      <c r="AC71" s="9" t="e">
        <f>F71*$AG87</f>
        <v>#DIV/0!</v>
      </c>
      <c r="AD71" s="9" t="e">
        <f>G71*$AG87</f>
        <v>#DIV/0!</v>
      </c>
      <c r="AE71" s="9" t="e">
        <f>H71*$AG87</f>
        <v>#DIV/0!</v>
      </c>
      <c r="AF71" s="9" t="e">
        <f t="shared" si="19"/>
        <v>#DIV/0!</v>
      </c>
      <c r="AG71" s="13" t="e">
        <f t="shared" ref="AG71:AJ83" si="20">P71+T71+X71+AB71+AL71+AQ71+AU71</f>
        <v>#DIV/0!</v>
      </c>
      <c r="AH71" s="13" t="e">
        <f t="shared" si="20"/>
        <v>#DIV/0!</v>
      </c>
      <c r="AI71" s="13" t="e">
        <f t="shared" si="20"/>
        <v>#DIV/0!</v>
      </c>
      <c r="AJ71" s="13" t="e">
        <f t="shared" si="20"/>
        <v>#DIV/0!</v>
      </c>
      <c r="AU71" s="17"/>
      <c r="AV71" s="17"/>
      <c r="AW71" s="17"/>
      <c r="AX71" s="17"/>
    </row>
    <row r="72" spans="1:50" x14ac:dyDescent="0.2">
      <c r="A72" s="10">
        <v>61</v>
      </c>
      <c r="B72" s="10"/>
      <c r="C72" s="10"/>
      <c r="D72" s="10"/>
      <c r="E72" s="16"/>
      <c r="F72" s="16"/>
      <c r="G72" s="16"/>
      <c r="H72" s="16"/>
      <c r="P72" s="9">
        <f>E72*'[1]Sector and category'!$N8</f>
        <v>0</v>
      </c>
      <c r="Q72" s="9">
        <f>F72*'[1]Sector and category'!$N8</f>
        <v>0</v>
      </c>
      <c r="R72" s="9">
        <f>G72*'[1]Sector and category'!$N8</f>
        <v>0</v>
      </c>
      <c r="S72" s="9">
        <f>H72*'[1]Sector and category'!$N8</f>
        <v>0</v>
      </c>
      <c r="T72" s="9">
        <f>E72*'[1]Sector and category'!$O8</f>
        <v>0</v>
      </c>
      <c r="U72" s="9">
        <f>F72*'[1]Sector and category'!$O8</f>
        <v>0</v>
      </c>
      <c r="V72" s="9">
        <f>G72*'[1]Sector and category'!$O8</f>
        <v>0</v>
      </c>
      <c r="W72" s="9">
        <f>H72*'[1]Sector and category'!$O8</f>
        <v>0</v>
      </c>
      <c r="X72" s="9">
        <f>E72*'[1]Sector and category'!$P8</f>
        <v>0</v>
      </c>
      <c r="Y72" s="9">
        <f>F72*'[1]Sector and category'!$P8</f>
        <v>0</v>
      </c>
      <c r="Z72" s="9">
        <f>G72*'[1]Sector and category'!$P8</f>
        <v>0</v>
      </c>
      <c r="AA72" s="9">
        <f>H72*'[1]Sector and category'!$P8</f>
        <v>0</v>
      </c>
      <c r="AB72" s="9">
        <f>E72*'[1]Sector and category'!$Q8</f>
        <v>0</v>
      </c>
      <c r="AC72" s="9">
        <f>F72*'[1]Sector and category'!$Q8</f>
        <v>0</v>
      </c>
      <c r="AD72" s="9">
        <f>G72*'[1]Sector and category'!$Q8</f>
        <v>0</v>
      </c>
      <c r="AE72" s="9">
        <f>H72*'[1]Sector and category'!$Q8</f>
        <v>0</v>
      </c>
      <c r="AF72" s="9" t="str">
        <f t="shared" si="19"/>
        <v>OK</v>
      </c>
      <c r="AG72" s="13">
        <f t="shared" si="20"/>
        <v>0</v>
      </c>
      <c r="AH72" s="13">
        <f t="shared" si="20"/>
        <v>0</v>
      </c>
      <c r="AI72" s="13">
        <f t="shared" si="20"/>
        <v>0</v>
      </c>
      <c r="AJ72" s="13">
        <f t="shared" si="20"/>
        <v>0</v>
      </c>
    </row>
    <row r="73" spans="1:50" x14ac:dyDescent="0.2">
      <c r="A73" s="10">
        <v>62</v>
      </c>
      <c r="B73" s="10"/>
      <c r="C73" s="10"/>
      <c r="D73" s="10"/>
      <c r="E73" s="16"/>
      <c r="F73" s="16"/>
      <c r="G73" s="16"/>
      <c r="H73" s="16"/>
      <c r="AF73" s="9" t="str">
        <f t="shared" si="19"/>
        <v>OK</v>
      </c>
      <c r="AG73" s="13">
        <f t="shared" si="20"/>
        <v>0</v>
      </c>
      <c r="AH73" s="13">
        <f t="shared" si="20"/>
        <v>0</v>
      </c>
      <c r="AI73" s="13">
        <f t="shared" si="20"/>
        <v>0</v>
      </c>
      <c r="AJ73" s="13">
        <f t="shared" si="20"/>
        <v>0</v>
      </c>
      <c r="AU73" s="17">
        <f>E73</f>
        <v>0</v>
      </c>
      <c r="AV73" s="17">
        <f t="shared" ref="AV73:AX76" si="21">F73</f>
        <v>0</v>
      </c>
      <c r="AW73" s="17">
        <f t="shared" si="21"/>
        <v>0</v>
      </c>
      <c r="AX73" s="17">
        <f t="shared" si="21"/>
        <v>0</v>
      </c>
    </row>
    <row r="74" spans="1:50" x14ac:dyDescent="0.2">
      <c r="A74" s="10">
        <v>63</v>
      </c>
      <c r="B74" s="10"/>
      <c r="C74" s="10"/>
      <c r="D74" s="10"/>
      <c r="E74" s="16">
        <v>0.7</v>
      </c>
      <c r="F74" s="16">
        <v>0.7</v>
      </c>
      <c r="G74" s="16">
        <v>0.7</v>
      </c>
      <c r="H74" s="16">
        <v>0.7</v>
      </c>
      <c r="AF74" s="9" t="str">
        <f t="shared" si="19"/>
        <v>OK</v>
      </c>
      <c r="AG74" s="13">
        <f t="shared" si="20"/>
        <v>0.7</v>
      </c>
      <c r="AH74" s="13">
        <f t="shared" si="20"/>
        <v>0.7</v>
      </c>
      <c r="AI74" s="13">
        <f t="shared" si="20"/>
        <v>0.7</v>
      </c>
      <c r="AJ74" s="13">
        <f t="shared" si="20"/>
        <v>0.7</v>
      </c>
      <c r="AU74" s="17">
        <f>E74</f>
        <v>0.7</v>
      </c>
      <c r="AV74" s="17">
        <f t="shared" si="21"/>
        <v>0.7</v>
      </c>
      <c r="AW74" s="17">
        <f t="shared" si="21"/>
        <v>0.7</v>
      </c>
      <c r="AX74" s="17">
        <f t="shared" si="21"/>
        <v>0.7</v>
      </c>
    </row>
    <row r="75" spans="1:50" x14ac:dyDescent="0.2">
      <c r="A75" s="10">
        <v>64</v>
      </c>
      <c r="B75" s="10"/>
      <c r="C75" s="10"/>
      <c r="D75" s="10"/>
      <c r="E75" s="16"/>
      <c r="F75" s="16"/>
      <c r="G75" s="16"/>
      <c r="H75" s="16"/>
      <c r="N75" s="9" t="s">
        <v>216</v>
      </c>
      <c r="T75" s="9">
        <f>E75*'[1]Sector and category'!$O12</f>
        <v>0</v>
      </c>
      <c r="U75" s="9">
        <f>F75*'[1]Sector and category'!$O12</f>
        <v>0</v>
      </c>
      <c r="V75" s="9">
        <f>G75*'[1]Sector and category'!$O12</f>
        <v>0</v>
      </c>
      <c r="W75" s="9">
        <f>H75*'[1]Sector and category'!$O12</f>
        <v>0</v>
      </c>
      <c r="X75" s="9">
        <f>E75*'[1]Sector and category'!$P12</f>
        <v>0</v>
      </c>
      <c r="Y75" s="9">
        <f>F75*'[1]Sector and category'!$P12</f>
        <v>0</v>
      </c>
      <c r="Z75" s="9">
        <f>G75*'[1]Sector and category'!$P12</f>
        <v>0</v>
      </c>
      <c r="AA75" s="9">
        <f>H75*'[1]Sector and category'!$P12</f>
        <v>0</v>
      </c>
      <c r="AF75" s="9" t="str">
        <f>IF(AG75=E75,"OK","not")</f>
        <v>OK</v>
      </c>
      <c r="AG75" s="13">
        <f>P75+T75+X75+AB75+AL75+AQ75+AU75</f>
        <v>0</v>
      </c>
      <c r="AH75" s="13">
        <f t="shared" si="20"/>
        <v>0</v>
      </c>
      <c r="AI75" s="13">
        <f t="shared" si="20"/>
        <v>0</v>
      </c>
      <c r="AJ75" s="13">
        <f t="shared" si="20"/>
        <v>0</v>
      </c>
      <c r="AU75" s="17"/>
      <c r="AV75" s="17"/>
      <c r="AW75" s="17"/>
      <c r="AX75" s="17"/>
    </row>
    <row r="76" spans="1:50" x14ac:dyDescent="0.2">
      <c r="A76" s="10">
        <v>65</v>
      </c>
      <c r="B76" s="10"/>
      <c r="C76" s="10"/>
      <c r="D76" s="10"/>
      <c r="E76" s="16"/>
      <c r="F76" s="16"/>
      <c r="G76" s="16"/>
      <c r="H76" s="16"/>
      <c r="AF76" s="9" t="str">
        <f t="shared" si="19"/>
        <v>OK</v>
      </c>
      <c r="AG76" s="13">
        <f t="shared" si="20"/>
        <v>0</v>
      </c>
      <c r="AH76" s="13">
        <f t="shared" si="20"/>
        <v>0</v>
      </c>
      <c r="AI76" s="13">
        <f t="shared" si="20"/>
        <v>0</v>
      </c>
      <c r="AJ76" s="13">
        <f t="shared" si="20"/>
        <v>0</v>
      </c>
      <c r="AU76" s="17">
        <f>E76</f>
        <v>0</v>
      </c>
      <c r="AV76" s="17">
        <f t="shared" si="21"/>
        <v>0</v>
      </c>
      <c r="AW76" s="17">
        <f t="shared" si="21"/>
        <v>0</v>
      </c>
      <c r="AX76" s="17">
        <f t="shared" si="21"/>
        <v>0</v>
      </c>
    </row>
    <row r="77" spans="1:50" x14ac:dyDescent="0.2">
      <c r="A77" s="10"/>
      <c r="B77" s="21">
        <f t="shared" ref="B77:H77" si="22">SUM(B61:B76)</f>
        <v>0</v>
      </c>
      <c r="C77" s="21">
        <f t="shared" si="22"/>
        <v>0</v>
      </c>
      <c r="D77" s="21">
        <f t="shared" si="22"/>
        <v>0</v>
      </c>
      <c r="E77" s="21">
        <f t="shared" si="22"/>
        <v>23.975000000000001</v>
      </c>
      <c r="F77" s="21">
        <f t="shared" si="22"/>
        <v>6.7</v>
      </c>
      <c r="G77" s="21">
        <f t="shared" si="22"/>
        <v>6.7</v>
      </c>
      <c r="H77" s="21">
        <f t="shared" si="22"/>
        <v>6.7</v>
      </c>
      <c r="AF77" s="9" t="str">
        <f t="shared" si="19"/>
        <v>not</v>
      </c>
      <c r="AG77" s="13">
        <f t="shared" si="20"/>
        <v>0</v>
      </c>
      <c r="AH77" s="13">
        <f t="shared" si="20"/>
        <v>0</v>
      </c>
      <c r="AI77" s="13">
        <f t="shared" si="20"/>
        <v>0</v>
      </c>
      <c r="AJ77" s="13">
        <f t="shared" si="20"/>
        <v>0</v>
      </c>
      <c r="AU77" s="17"/>
    </row>
    <row r="78" spans="1:50" x14ac:dyDescent="0.2">
      <c r="A78" s="10" t="s">
        <v>214</v>
      </c>
      <c r="B78" s="10"/>
      <c r="C78" s="10"/>
      <c r="D78" s="10"/>
      <c r="E78" s="16"/>
      <c r="F78" s="16"/>
      <c r="G78" s="16"/>
      <c r="H78" s="16"/>
      <c r="AF78" s="9" t="str">
        <f t="shared" si="19"/>
        <v>OK</v>
      </c>
      <c r="AG78" s="13">
        <f t="shared" si="20"/>
        <v>0</v>
      </c>
      <c r="AH78" s="13">
        <f t="shared" si="20"/>
        <v>0</v>
      </c>
      <c r="AI78" s="13">
        <f t="shared" si="20"/>
        <v>0</v>
      </c>
      <c r="AJ78" s="13">
        <f t="shared" si="20"/>
        <v>0</v>
      </c>
      <c r="AU78" s="17">
        <f>E78</f>
        <v>0</v>
      </c>
      <c r="AV78" s="17">
        <f>F78</f>
        <v>0</v>
      </c>
      <c r="AW78" s="17">
        <f>G78</f>
        <v>0</v>
      </c>
      <c r="AX78" s="17">
        <f>H78</f>
        <v>0</v>
      </c>
    </row>
    <row r="79" spans="1:50" s="22" customFormat="1" x14ac:dyDescent="0.2">
      <c r="A79" s="20"/>
      <c r="B79" s="20"/>
      <c r="C79" s="20"/>
      <c r="D79" s="20"/>
      <c r="E79" s="21">
        <f>SUM(E78,E77,E60,E51,E39,E27,E19)</f>
        <v>103.09570000000001</v>
      </c>
      <c r="F79" s="21">
        <f>SUM(F78,F77,F60,F51,F39,F27,F19)</f>
        <v>49.234999999999992</v>
      </c>
      <c r="G79" s="21">
        <f>SUM(G78,G77,G60,G51,G39,G27,G19)</f>
        <v>48.934999999999995</v>
      </c>
      <c r="H79" s="21">
        <f>SUM(H78,H77,H60,H51,H39,H27,H19)</f>
        <v>48.8</v>
      </c>
      <c r="AF79" s="9" t="str">
        <f t="shared" si="19"/>
        <v>not</v>
      </c>
      <c r="AG79" s="13"/>
      <c r="AH79" s="13"/>
      <c r="AI79" s="13"/>
      <c r="AJ79" s="13"/>
    </row>
    <row r="80" spans="1:50" x14ac:dyDescent="0.2">
      <c r="F80" s="17"/>
      <c r="AF80" s="9" t="str">
        <f t="shared" si="19"/>
        <v>OK</v>
      </c>
      <c r="AG80" s="13">
        <f t="shared" si="20"/>
        <v>0</v>
      </c>
      <c r="AH80" s="13">
        <f t="shared" si="20"/>
        <v>0</v>
      </c>
      <c r="AI80" s="13">
        <f t="shared" si="20"/>
        <v>0</v>
      </c>
      <c r="AJ80" s="13">
        <f t="shared" si="20"/>
        <v>0</v>
      </c>
    </row>
    <row r="81" spans="1:50" ht="15.75" x14ac:dyDescent="0.25">
      <c r="A81" s="9" t="s">
        <v>52</v>
      </c>
      <c r="E81" s="26"/>
      <c r="F81" s="26"/>
      <c r="G81" s="26"/>
      <c r="H81" s="26"/>
      <c r="AF81" s="9" t="str">
        <f t="shared" si="19"/>
        <v>OK</v>
      </c>
      <c r="AG81" s="13">
        <f t="shared" si="20"/>
        <v>0</v>
      </c>
      <c r="AH81" s="13">
        <f t="shared" si="20"/>
        <v>0</v>
      </c>
      <c r="AI81" s="13">
        <f t="shared" si="20"/>
        <v>0</v>
      </c>
      <c r="AJ81" s="13">
        <f t="shared" si="20"/>
        <v>0</v>
      </c>
    </row>
    <row r="82" spans="1:50" x14ac:dyDescent="0.2">
      <c r="E82" s="9">
        <v>3710.2</v>
      </c>
      <c r="P82" s="9" t="e">
        <f t="shared" ref="P82:AE82" si="23">SUM(P4:P78)</f>
        <v>#DIV/0!</v>
      </c>
      <c r="Q82" s="9" t="e">
        <f t="shared" si="23"/>
        <v>#DIV/0!</v>
      </c>
      <c r="R82" s="9" t="e">
        <f t="shared" si="23"/>
        <v>#DIV/0!</v>
      </c>
      <c r="S82" s="9" t="e">
        <f t="shared" si="23"/>
        <v>#DIV/0!</v>
      </c>
      <c r="T82" s="9" t="e">
        <f t="shared" si="23"/>
        <v>#DIV/0!</v>
      </c>
      <c r="U82" s="9" t="e">
        <f t="shared" si="23"/>
        <v>#DIV/0!</v>
      </c>
      <c r="V82" s="9" t="e">
        <f t="shared" si="23"/>
        <v>#DIV/0!</v>
      </c>
      <c r="W82" s="9" t="e">
        <f t="shared" si="23"/>
        <v>#DIV/0!</v>
      </c>
      <c r="X82" s="9" t="e">
        <f t="shared" si="23"/>
        <v>#DIV/0!</v>
      </c>
      <c r="Y82" s="9" t="e">
        <f t="shared" si="23"/>
        <v>#DIV/0!</v>
      </c>
      <c r="Z82" s="9" t="e">
        <f t="shared" si="23"/>
        <v>#DIV/0!</v>
      </c>
      <c r="AA82" s="9" t="e">
        <f t="shared" si="23"/>
        <v>#DIV/0!</v>
      </c>
      <c r="AB82" s="9" t="e">
        <f t="shared" si="23"/>
        <v>#DIV/0!</v>
      </c>
      <c r="AC82" s="9" t="e">
        <f t="shared" si="23"/>
        <v>#DIV/0!</v>
      </c>
      <c r="AD82" s="9" t="e">
        <f t="shared" si="23"/>
        <v>#DIV/0!</v>
      </c>
      <c r="AE82" s="9" t="e">
        <f t="shared" si="23"/>
        <v>#DIV/0!</v>
      </c>
      <c r="AF82" s="9" t="e">
        <f t="shared" si="19"/>
        <v>#DIV/0!</v>
      </c>
      <c r="AG82" s="13" t="e">
        <f t="shared" si="20"/>
        <v>#DIV/0!</v>
      </c>
      <c r="AH82" s="13" t="e">
        <f t="shared" si="20"/>
        <v>#DIV/0!</v>
      </c>
      <c r="AI82" s="13" t="e">
        <f t="shared" si="20"/>
        <v>#DIV/0!</v>
      </c>
      <c r="AJ82" s="13" t="e">
        <f t="shared" si="20"/>
        <v>#DIV/0!</v>
      </c>
      <c r="AL82" s="9">
        <f t="shared" ref="AL82:AX82" si="24">SUM(AL4:AL78)</f>
        <v>7.93</v>
      </c>
      <c r="AM82" s="9">
        <f t="shared" si="24"/>
        <v>7.7850000000000001</v>
      </c>
      <c r="AN82" s="9">
        <f t="shared" si="24"/>
        <v>7.7850000000000001</v>
      </c>
      <c r="AO82" s="9">
        <f t="shared" si="24"/>
        <v>7.6999999999999993</v>
      </c>
      <c r="AP82" s="9">
        <f t="shared" si="24"/>
        <v>0</v>
      </c>
      <c r="AQ82" s="9">
        <f t="shared" si="24"/>
        <v>16.15746483304121</v>
      </c>
      <c r="AR82" s="9">
        <f t="shared" si="24"/>
        <v>2.2313154464967866</v>
      </c>
      <c r="AS82" s="9">
        <f t="shared" si="24"/>
        <v>2.2313154464967866</v>
      </c>
      <c r="AT82" s="9">
        <f t="shared" si="24"/>
        <v>2.2313154464967866</v>
      </c>
      <c r="AU82" s="9">
        <f t="shared" si="24"/>
        <v>23.975000000000001</v>
      </c>
      <c r="AV82" s="9">
        <f t="shared" si="24"/>
        <v>6.7</v>
      </c>
      <c r="AW82" s="9">
        <f t="shared" si="24"/>
        <v>6.7</v>
      </c>
      <c r="AX82" s="9">
        <f t="shared" si="24"/>
        <v>6.7</v>
      </c>
    </row>
    <row r="83" spans="1:50" x14ac:dyDescent="0.2">
      <c r="A83" s="9" t="s">
        <v>217</v>
      </c>
      <c r="AF83" s="9" t="str">
        <f t="shared" si="19"/>
        <v>OK</v>
      </c>
      <c r="AG83" s="13">
        <f t="shared" si="20"/>
        <v>0</v>
      </c>
      <c r="AH83" s="13">
        <f t="shared" si="20"/>
        <v>0</v>
      </c>
      <c r="AI83" s="13">
        <f t="shared" si="20"/>
        <v>0</v>
      </c>
      <c r="AJ83" s="13">
        <f t="shared" si="20"/>
        <v>0</v>
      </c>
    </row>
    <row r="84" spans="1:50" s="27" customFormat="1" ht="15.75" x14ac:dyDescent="0.25">
      <c r="I84" s="9"/>
    </row>
    <row r="85" spans="1:50" x14ac:dyDescent="0.2">
      <c r="P85" s="9">
        <f>P3</f>
        <v>2018</v>
      </c>
      <c r="Q85" s="9">
        <f>Q3</f>
        <v>2019</v>
      </c>
      <c r="R85" s="9">
        <f>R3</f>
        <v>2020</v>
      </c>
      <c r="S85" s="9">
        <f>S3</f>
        <v>2021</v>
      </c>
    </row>
    <row r="86" spans="1:50" ht="15" x14ac:dyDescent="0.25">
      <c r="M86" s="28" t="e">
        <f>P86/P$93</f>
        <v>#DIV/0!</v>
      </c>
      <c r="N86" s="9">
        <v>1.0114401377006139</v>
      </c>
      <c r="O86" s="9" t="s">
        <v>218</v>
      </c>
      <c r="P86" s="17" t="e">
        <f>P82</f>
        <v>#DIV/0!</v>
      </c>
      <c r="Q86" s="17" t="e">
        <f>Q82</f>
        <v>#DIV/0!</v>
      </c>
      <c r="R86" s="17" t="e">
        <f>R82</f>
        <v>#DIV/0!</v>
      </c>
      <c r="S86" s="17" t="e">
        <f>S82</f>
        <v>#DIV/0!</v>
      </c>
      <c r="T86" s="29" t="e">
        <f>P86/'[1]Sector and category'!N6*1000</f>
        <v>#DIV/0!</v>
      </c>
    </row>
    <row r="87" spans="1:50" ht="15" x14ac:dyDescent="0.25">
      <c r="A87" s="9" t="s">
        <v>219</v>
      </c>
      <c r="M87" s="28" t="e">
        <f t="shared" ref="M87:M92" si="25">P87/P$93</f>
        <v>#DIV/0!</v>
      </c>
      <c r="N87" s="9">
        <v>1.6063694211004382</v>
      </c>
      <c r="O87" s="9" t="s">
        <v>220</v>
      </c>
      <c r="P87" s="17" t="e">
        <f>T82</f>
        <v>#DIV/0!</v>
      </c>
      <c r="Q87" s="17" t="e">
        <f>U82</f>
        <v>#DIV/0!</v>
      </c>
      <c r="R87" s="17" t="e">
        <f>V82</f>
        <v>#DIV/0!</v>
      </c>
      <c r="S87" s="17" t="e">
        <f>W82</f>
        <v>#DIV/0!</v>
      </c>
      <c r="T87" s="29" t="e">
        <f>P87/'[1]Sector and category'!O6*1000</f>
        <v>#DIV/0!</v>
      </c>
      <c r="V87" s="9">
        <v>18938</v>
      </c>
      <c r="W87" s="9">
        <v>16789</v>
      </c>
      <c r="X87" s="9">
        <f>V87*W87/1000000</f>
        <v>317.95008200000001</v>
      </c>
      <c r="Z87" s="9">
        <f>V87*(Y$92/X$92)</f>
        <v>0</v>
      </c>
      <c r="AB87" s="9">
        <f>Z87*W87/1000000</f>
        <v>0</v>
      </c>
      <c r="AD87" s="9" t="e">
        <f>AB87/AB$92</f>
        <v>#DIV/0!</v>
      </c>
      <c r="AE87" s="9" t="e">
        <f>AB88/AB$92</f>
        <v>#DIV/0!</v>
      </c>
      <c r="AF87" s="9" t="e">
        <f>AB89/AB$92</f>
        <v>#DIV/0!</v>
      </c>
      <c r="AG87" s="9" t="e">
        <f>AB90/AB$92</f>
        <v>#DIV/0!</v>
      </c>
    </row>
    <row r="88" spans="1:50" ht="15" x14ac:dyDescent="0.25">
      <c r="A88" s="10"/>
      <c r="B88" s="10"/>
      <c r="C88" s="10">
        <v>2016</v>
      </c>
      <c r="D88" s="10">
        <v>2017</v>
      </c>
      <c r="E88" s="10">
        <v>2018</v>
      </c>
      <c r="F88" s="10">
        <v>2019</v>
      </c>
      <c r="G88" s="10">
        <v>2020</v>
      </c>
      <c r="H88" s="10">
        <v>2021</v>
      </c>
      <c r="M88" s="28" t="e">
        <f t="shared" si="25"/>
        <v>#DIV/0!</v>
      </c>
      <c r="N88" s="9">
        <v>1.8313671832345042</v>
      </c>
      <c r="O88" s="9" t="s">
        <v>221</v>
      </c>
      <c r="P88" s="17" t="e">
        <f>X82</f>
        <v>#DIV/0!</v>
      </c>
      <c r="Q88" s="17" t="e">
        <f>Y82</f>
        <v>#DIV/0!</v>
      </c>
      <c r="R88" s="17" t="e">
        <f>Z82</f>
        <v>#DIV/0!</v>
      </c>
      <c r="S88" s="17" t="e">
        <f>AA82</f>
        <v>#DIV/0!</v>
      </c>
      <c r="T88" s="29" t="e">
        <f>P88/'[1]Sector and category'!P6*1000</f>
        <v>#DIV/0!</v>
      </c>
      <c r="V88" s="9">
        <v>26382</v>
      </c>
      <c r="W88" s="9">
        <v>29544</v>
      </c>
      <c r="X88" s="9">
        <f>V88*W88/1000000</f>
        <v>779.42980799999998</v>
      </c>
      <c r="Z88" s="9">
        <f>V88*(Y$92/X$92)</f>
        <v>0</v>
      </c>
      <c r="AB88" s="9">
        <f>Z88*W88/1000000</f>
        <v>0</v>
      </c>
    </row>
    <row r="89" spans="1:50" ht="15" x14ac:dyDescent="0.25">
      <c r="A89" s="10">
        <v>11505</v>
      </c>
      <c r="B89" s="10" t="s">
        <v>181</v>
      </c>
      <c r="C89" s="10">
        <v>16.5</v>
      </c>
      <c r="D89" s="10">
        <v>17.899999999999999</v>
      </c>
      <c r="E89" s="10">
        <v>23.2</v>
      </c>
      <c r="F89" s="10">
        <v>22.4</v>
      </c>
      <c r="G89" s="10">
        <v>23.9</v>
      </c>
      <c r="H89" s="10">
        <v>23.9</v>
      </c>
      <c r="M89" s="28" t="e">
        <f t="shared" si="25"/>
        <v>#DIV/0!</v>
      </c>
      <c r="N89" s="9">
        <v>2.3874174324977906</v>
      </c>
      <c r="O89" s="9" t="s">
        <v>222</v>
      </c>
      <c r="P89" s="17" t="e">
        <f>AB82</f>
        <v>#DIV/0!</v>
      </c>
      <c r="Q89" s="17" t="e">
        <f>AC82</f>
        <v>#DIV/0!</v>
      </c>
      <c r="R89" s="17" t="e">
        <f>AD82</f>
        <v>#DIV/0!</v>
      </c>
      <c r="S89" s="17" t="e">
        <f>AE82</f>
        <v>#DIV/0!</v>
      </c>
      <c r="T89" s="17" t="e">
        <f>P89/'[1]Sector and category'!Q6*1000</f>
        <v>#DIV/0!</v>
      </c>
      <c r="V89" s="9">
        <v>31589</v>
      </c>
      <c r="W89" s="9">
        <f>5151+147</f>
        <v>5298</v>
      </c>
      <c r="X89" s="9">
        <f>V89*W89/1000000</f>
        <v>167.35852199999999</v>
      </c>
      <c r="Z89" s="9">
        <f>V89*(Y$92/X$92)</f>
        <v>0</v>
      </c>
      <c r="AB89" s="9">
        <f>Z89*W89/1000000</f>
        <v>0</v>
      </c>
    </row>
    <row r="90" spans="1:50" ht="15" x14ac:dyDescent="0.25">
      <c r="M90" s="28" t="e">
        <f t="shared" si="25"/>
        <v>#DIV/0!</v>
      </c>
      <c r="O90" s="9" t="s">
        <v>223</v>
      </c>
      <c r="P90" s="17">
        <f>AL82</f>
        <v>7.93</v>
      </c>
      <c r="Q90" s="17">
        <f>AM82</f>
        <v>7.7850000000000001</v>
      </c>
      <c r="R90" s="17">
        <f>AN82</f>
        <v>7.7850000000000001</v>
      </c>
      <c r="S90" s="17">
        <f>AO82</f>
        <v>7.6999999999999993</v>
      </c>
      <c r="T90" s="17" t="e">
        <f>P90/'[1]Sector and category'!N10*1000</f>
        <v>#DIV/0!</v>
      </c>
      <c r="V90" s="9">
        <f>(V89+V88)/2</f>
        <v>28985.5</v>
      </c>
      <c r="W90" s="9">
        <v>1274</v>
      </c>
      <c r="X90" s="9">
        <f>V90*W90/1000000</f>
        <v>36.927526999999998</v>
      </c>
      <c r="Z90" s="9">
        <f>V90*(Y$92/X$92)</f>
        <v>0</v>
      </c>
      <c r="AB90" s="9">
        <f>Z90*W90/1000000</f>
        <v>0</v>
      </c>
    </row>
    <row r="91" spans="1:50" ht="15" x14ac:dyDescent="0.25">
      <c r="A91" s="9" t="s">
        <v>66</v>
      </c>
      <c r="M91" s="28" t="e">
        <f t="shared" si="25"/>
        <v>#DIV/0!</v>
      </c>
      <c r="O91" s="9" t="s">
        <v>213</v>
      </c>
      <c r="P91" s="17">
        <f>AQ82</f>
        <v>16.15746483304121</v>
      </c>
      <c r="Q91" s="17">
        <f>AR82</f>
        <v>2.2313154464967866</v>
      </c>
      <c r="R91" s="17">
        <f>AS82</f>
        <v>2.2313154464967866</v>
      </c>
      <c r="S91" s="17">
        <f>AT82</f>
        <v>2.2313154464967866</v>
      </c>
      <c r="T91" s="17" t="e">
        <f>P91/'[1]Sector and category'!N11*1000</f>
        <v>#DIV/0!</v>
      </c>
    </row>
    <row r="92" spans="1:50" ht="15" x14ac:dyDescent="0.25">
      <c r="A92" s="10">
        <v>12182</v>
      </c>
      <c r="B92" s="10" t="s">
        <v>224</v>
      </c>
      <c r="C92" s="10">
        <v>250.6</v>
      </c>
      <c r="D92" s="10">
        <v>306.89999999999998</v>
      </c>
      <c r="E92" s="10">
        <v>313.89999999999998</v>
      </c>
      <c r="F92" s="10">
        <v>304</v>
      </c>
      <c r="G92" s="10">
        <v>324.5</v>
      </c>
      <c r="H92" s="10">
        <v>324.5</v>
      </c>
      <c r="M92" s="28" t="e">
        <f t="shared" si="25"/>
        <v>#DIV/0!</v>
      </c>
      <c r="O92" s="9" t="s">
        <v>214</v>
      </c>
      <c r="P92" s="17">
        <f>AU82</f>
        <v>23.975000000000001</v>
      </c>
      <c r="Q92" s="17">
        <f>AV82</f>
        <v>6.7</v>
      </c>
      <c r="R92" s="17">
        <f>AW82</f>
        <v>6.7</v>
      </c>
      <c r="S92" s="17">
        <f>AX82</f>
        <v>6.7</v>
      </c>
      <c r="T92" s="17" t="e">
        <f>P92/'[1]Sector and category'!N12*1000</f>
        <v>#DIV/0!</v>
      </c>
      <c r="X92" s="9">
        <f>SUM(X87:X90)</f>
        <v>1301.665939</v>
      </c>
      <c r="Y92" s="17">
        <f>E71</f>
        <v>0</v>
      </c>
      <c r="AB92" s="9">
        <f>SUM(AB87:AB91)</f>
        <v>0</v>
      </c>
    </row>
    <row r="93" spans="1:50" x14ac:dyDescent="0.2">
      <c r="A93" s="10">
        <v>10440</v>
      </c>
      <c r="B93" s="10" t="s">
        <v>225</v>
      </c>
      <c r="C93" s="10">
        <v>51236</v>
      </c>
      <c r="D93" s="10">
        <v>47860</v>
      </c>
      <c r="E93" s="10">
        <v>71626.5</v>
      </c>
      <c r="F93" s="10">
        <v>69355.899999999994</v>
      </c>
      <c r="G93" s="10">
        <v>74045.3</v>
      </c>
      <c r="H93" s="10">
        <v>74031.7</v>
      </c>
      <c r="M93" s="30" t="e">
        <f>SUM(M86:M92)</f>
        <v>#DIV/0!</v>
      </c>
      <c r="P93" s="17" t="e">
        <f>SUM(P86:P92)</f>
        <v>#DIV/0!</v>
      </c>
      <c r="Q93" s="17" t="e">
        <f>SUM(Q86:Q92)</f>
        <v>#DIV/0!</v>
      </c>
      <c r="R93" s="17" t="e">
        <f>SUM(R86:R92)</f>
        <v>#DIV/0!</v>
      </c>
      <c r="S93" s="17" t="e">
        <f>SUM(S86:S92)</f>
        <v>#DIV/0!</v>
      </c>
    </row>
    <row r="95" spans="1:50" x14ac:dyDescent="0.2">
      <c r="A95" s="9" t="s">
        <v>226</v>
      </c>
    </row>
    <row r="96" spans="1:50" ht="15" x14ac:dyDescent="0.25">
      <c r="A96" s="10">
        <v>21074</v>
      </c>
      <c r="B96" s="10" t="s">
        <v>227</v>
      </c>
      <c r="C96" s="31">
        <v>9698.7000000000007</v>
      </c>
      <c r="D96" s="31">
        <v>5000</v>
      </c>
      <c r="E96" s="31">
        <v>10000</v>
      </c>
      <c r="F96" s="31">
        <v>10000</v>
      </c>
      <c r="G96" s="31">
        <v>10000</v>
      </c>
      <c r="H96" s="31">
        <v>10000</v>
      </c>
    </row>
    <row r="97" spans="1:19" ht="15" x14ac:dyDescent="0.25">
      <c r="A97" s="10">
        <v>22644</v>
      </c>
      <c r="B97" s="10" t="s">
        <v>228</v>
      </c>
      <c r="C97" s="31">
        <v>3000</v>
      </c>
      <c r="D97" s="31">
        <v>9000</v>
      </c>
      <c r="E97" s="31">
        <v>12000</v>
      </c>
      <c r="F97" s="31">
        <v>12000</v>
      </c>
      <c r="G97" s="31">
        <v>12000</v>
      </c>
      <c r="H97" s="31">
        <v>12000</v>
      </c>
      <c r="P97" s="9" t="e">
        <f>P93/'[1]Sector and category'!N6*1000</f>
        <v>#DIV/0!</v>
      </c>
      <c r="Q97" s="9" t="e">
        <f>Q93/'[1]Sector and category'!O6*1000</f>
        <v>#DIV/0!</v>
      </c>
      <c r="R97" s="9" t="e">
        <f>R93/'[1]Sector and category'!P6*1000</f>
        <v>#DIV/0!</v>
      </c>
      <c r="S97" s="9" t="e">
        <f>S93/'[1]Sector and category'!Q6*1000</f>
        <v>#DIV/0!</v>
      </c>
    </row>
    <row r="98" spans="1:19" ht="15" x14ac:dyDescent="0.25">
      <c r="A98" s="10">
        <v>22646</v>
      </c>
      <c r="B98" s="10" t="s">
        <v>229</v>
      </c>
      <c r="C98" s="31">
        <v>3000</v>
      </c>
      <c r="D98" s="31">
        <v>5000</v>
      </c>
      <c r="E98" s="31">
        <v>15000</v>
      </c>
      <c r="F98" s="31">
        <v>15000</v>
      </c>
      <c r="G98" s="31">
        <v>15000</v>
      </c>
      <c r="H98" s="31">
        <v>15000</v>
      </c>
    </row>
    <row r="102" spans="1:19" s="22" customFormat="1" x14ac:dyDescent="0.2">
      <c r="A102" s="20"/>
      <c r="B102" s="20">
        <f t="shared" ref="B102:H102" si="26">B3</f>
        <v>2015</v>
      </c>
      <c r="C102" s="20">
        <f t="shared" si="26"/>
        <v>2016</v>
      </c>
      <c r="D102" s="20">
        <f t="shared" si="26"/>
        <v>2017</v>
      </c>
      <c r="E102" s="20">
        <f t="shared" si="26"/>
        <v>2018</v>
      </c>
      <c r="F102" s="20">
        <f t="shared" si="26"/>
        <v>2019</v>
      </c>
      <c r="G102" s="20">
        <f t="shared" si="26"/>
        <v>2020</v>
      </c>
      <c r="H102" s="20">
        <f t="shared" si="26"/>
        <v>2021</v>
      </c>
    </row>
    <row r="103" spans="1:19" x14ac:dyDescent="0.2">
      <c r="A103" s="10" t="s">
        <v>230</v>
      </c>
      <c r="B103" s="16">
        <f t="shared" ref="B103:H103" si="27">B19</f>
        <v>0</v>
      </c>
      <c r="C103" s="16">
        <f t="shared" si="27"/>
        <v>0</v>
      </c>
      <c r="D103" s="16">
        <f t="shared" si="27"/>
        <v>0</v>
      </c>
      <c r="E103" s="16">
        <f t="shared" si="27"/>
        <v>6.4999999999999991</v>
      </c>
      <c r="F103" s="16">
        <f t="shared" si="27"/>
        <v>4</v>
      </c>
      <c r="G103" s="16">
        <f t="shared" si="27"/>
        <v>4</v>
      </c>
      <c r="H103" s="16">
        <f t="shared" si="27"/>
        <v>4</v>
      </c>
    </row>
    <row r="104" spans="1:19" x14ac:dyDescent="0.2">
      <c r="A104" s="10" t="s">
        <v>231</v>
      </c>
      <c r="B104" s="16">
        <f t="shared" ref="B104:H104" si="28">B27</f>
        <v>0</v>
      </c>
      <c r="C104" s="16">
        <f t="shared" si="28"/>
        <v>0</v>
      </c>
      <c r="D104" s="16">
        <f t="shared" si="28"/>
        <v>0</v>
      </c>
      <c r="E104" s="16">
        <f t="shared" si="28"/>
        <v>12.28</v>
      </c>
      <c r="F104" s="16">
        <f t="shared" si="28"/>
        <v>12.135</v>
      </c>
      <c r="G104" s="16">
        <f t="shared" si="28"/>
        <v>12.135</v>
      </c>
      <c r="H104" s="16">
        <f t="shared" si="28"/>
        <v>12.049999999999999</v>
      </c>
    </row>
    <row r="105" spans="1:19" x14ac:dyDescent="0.2">
      <c r="A105" s="10" t="s">
        <v>232</v>
      </c>
      <c r="B105" s="16">
        <f t="shared" ref="B105:H105" si="29">B39</f>
        <v>0</v>
      </c>
      <c r="C105" s="16">
        <f t="shared" si="29"/>
        <v>0</v>
      </c>
      <c r="D105" s="16">
        <f t="shared" si="29"/>
        <v>0</v>
      </c>
      <c r="E105" s="16">
        <f t="shared" si="29"/>
        <v>25.165700000000001</v>
      </c>
      <c r="F105" s="16">
        <f t="shared" si="29"/>
        <v>15.099999999999998</v>
      </c>
      <c r="G105" s="16">
        <f t="shared" si="29"/>
        <v>15.099999999999998</v>
      </c>
      <c r="H105" s="16">
        <f t="shared" si="29"/>
        <v>15.049999999999999</v>
      </c>
    </row>
    <row r="106" spans="1:19" x14ac:dyDescent="0.2">
      <c r="A106" s="10" t="s">
        <v>233</v>
      </c>
      <c r="B106" s="16">
        <f t="shared" ref="B106:H106" si="30">B51</f>
        <v>0</v>
      </c>
      <c r="C106" s="16">
        <f t="shared" si="30"/>
        <v>0</v>
      </c>
      <c r="D106" s="16">
        <f t="shared" si="30"/>
        <v>0</v>
      </c>
      <c r="E106" s="16">
        <f t="shared" si="30"/>
        <v>27.875</v>
      </c>
      <c r="F106" s="16">
        <f t="shared" si="30"/>
        <v>4</v>
      </c>
      <c r="G106" s="16">
        <f t="shared" si="30"/>
        <v>4</v>
      </c>
      <c r="H106" s="16">
        <f t="shared" si="30"/>
        <v>4</v>
      </c>
    </row>
    <row r="107" spans="1:19" x14ac:dyDescent="0.2">
      <c r="A107" s="10" t="s">
        <v>234</v>
      </c>
      <c r="B107" s="16">
        <f t="shared" ref="B107:H107" si="31">B60</f>
        <v>0</v>
      </c>
      <c r="C107" s="16">
        <f t="shared" si="31"/>
        <v>0</v>
      </c>
      <c r="D107" s="16">
        <f t="shared" si="31"/>
        <v>0</v>
      </c>
      <c r="E107" s="16">
        <f t="shared" si="31"/>
        <v>7.3</v>
      </c>
      <c r="F107" s="16">
        <f t="shared" si="31"/>
        <v>7.3</v>
      </c>
      <c r="G107" s="16">
        <f t="shared" si="31"/>
        <v>7</v>
      </c>
      <c r="H107" s="16">
        <f t="shared" si="31"/>
        <v>7</v>
      </c>
    </row>
    <row r="108" spans="1:19" x14ac:dyDescent="0.2">
      <c r="A108" s="10" t="s">
        <v>235</v>
      </c>
      <c r="B108" s="16">
        <f>B77</f>
        <v>0</v>
      </c>
      <c r="C108" s="16">
        <f t="shared" ref="C108:H109" si="32">C77</f>
        <v>0</v>
      </c>
      <c r="D108" s="16">
        <f t="shared" si="32"/>
        <v>0</v>
      </c>
      <c r="E108" s="16">
        <f t="shared" si="32"/>
        <v>23.975000000000001</v>
      </c>
      <c r="F108" s="16">
        <f t="shared" si="32"/>
        <v>6.7</v>
      </c>
      <c r="G108" s="16">
        <f t="shared" si="32"/>
        <v>6.7</v>
      </c>
      <c r="H108" s="16">
        <f t="shared" si="32"/>
        <v>6.7</v>
      </c>
    </row>
    <row r="109" spans="1:19" x14ac:dyDescent="0.2">
      <c r="A109" s="10" t="s">
        <v>214</v>
      </c>
      <c r="B109" s="10">
        <f>B78</f>
        <v>0</v>
      </c>
      <c r="C109" s="10">
        <f t="shared" si="32"/>
        <v>0</v>
      </c>
      <c r="D109" s="10">
        <f t="shared" si="32"/>
        <v>0</v>
      </c>
      <c r="E109" s="16">
        <f>E78</f>
        <v>0</v>
      </c>
      <c r="F109" s="16">
        <f>F78</f>
        <v>0</v>
      </c>
      <c r="G109" s="16">
        <f t="shared" si="32"/>
        <v>0</v>
      </c>
      <c r="H109" s="16">
        <f t="shared" si="32"/>
        <v>0</v>
      </c>
    </row>
    <row r="110" spans="1:19" x14ac:dyDescent="0.2">
      <c r="A110" s="10"/>
      <c r="B110" s="16">
        <f>SUM(B103:B109)</f>
        <v>0</v>
      </c>
      <c r="C110" s="16">
        <f t="shared" ref="C110:H110" si="33">SUM(C103:C109)</f>
        <v>0</v>
      </c>
      <c r="D110" s="16">
        <f t="shared" si="33"/>
        <v>0</v>
      </c>
      <c r="E110" s="16">
        <f t="shared" si="33"/>
        <v>103.09569999999999</v>
      </c>
      <c r="F110" s="16">
        <f t="shared" si="33"/>
        <v>49.234999999999999</v>
      </c>
      <c r="G110" s="16">
        <f t="shared" si="33"/>
        <v>48.935000000000002</v>
      </c>
      <c r="H110" s="16">
        <f t="shared" si="33"/>
        <v>48.8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</vt:lpstr>
      <vt:lpstr>FA 1</vt:lpstr>
      <vt:lpstr>FA 2</vt:lpstr>
      <vt:lpstr>FA 3</vt:lpstr>
      <vt:lpstr>FA 4</vt:lpstr>
      <vt:lpstr>FA 5</vt:lpstr>
      <vt:lpstr>FA 6</vt:lpstr>
      <vt:lpstr>Summary</vt:lpstr>
      <vt:lpstr>DFAT</vt:lpstr>
      <vt:lpstr>Tbles for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Jones</dc:creator>
  <cp:lastModifiedBy>USER</cp:lastModifiedBy>
  <dcterms:created xsi:type="dcterms:W3CDTF">2018-07-26T14:42:10Z</dcterms:created>
  <dcterms:modified xsi:type="dcterms:W3CDTF">2020-02-10T11:38:00Z</dcterms:modified>
</cp:coreProperties>
</file>