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cf302038ea4045/Desktop/KIX Docs/ECE 3.3 Tool and Presentation/Model/"/>
    </mc:Choice>
  </mc:AlternateContent>
  <xr:revisionPtr revIDLastSave="2354" documentId="13_ncr:1_{CAC09451-C485-441A-9D37-F8D789163189}" xr6:coauthVersionLast="47" xr6:coauthVersionMax="47" xr10:uidLastSave="{70AE802D-3154-4849-B6B8-2C6E1C65AB64}"/>
  <bookViews>
    <workbookView xWindow="-108" yWindow="-108" windowWidth="23256" windowHeight="12576" tabRatio="959" xr2:uid="{87A3B092-52FD-44E1-8FE5-33A0CACE6BEB}"/>
  </bookViews>
  <sheets>
    <sheet name="Dashboard" sheetId="11" r:id="rId1"/>
    <sheet name="Semantics" sheetId="15" r:id="rId2"/>
    <sheet name="Inputs" sheetId="12" r:id="rId3"/>
    <sheet name="Policy Decisions" sheetId="16" r:id="rId4"/>
    <sheet name="Population" sheetId="1" r:id="rId5"/>
    <sheet name="Achievement Rates" sheetId="4" r:id="rId6"/>
    <sheet name="Enrolment" sheetId="2" r:id="rId7"/>
    <sheet name="Human Resource" sheetId="6" r:id="rId8"/>
    <sheet name="Classrooms &amp; Materials" sheetId="7" r:id="rId9"/>
    <sheet name="Supporting Strategies" sheetId="13" r:id="rId10"/>
    <sheet name="Cost" sheetId="10" r:id="rId11"/>
    <sheet name="Financing" sheetId="8" r:id="rId12"/>
    <sheet name="Policy Options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3" i="12" l="1"/>
  <c r="K73" i="12"/>
  <c r="F73" i="12"/>
  <c r="A73" i="12"/>
  <c r="Q61" i="12"/>
  <c r="K61" i="12"/>
  <c r="F61" i="12"/>
  <c r="A61" i="12"/>
  <c r="H49" i="12"/>
  <c r="A49" i="12"/>
  <c r="G37" i="12"/>
  <c r="A37" i="12"/>
  <c r="A62" i="12"/>
  <c r="A50" i="12" l="1"/>
  <c r="C17" i="14"/>
  <c r="D17" i="14"/>
  <c r="E17" i="14"/>
  <c r="F17" i="14"/>
  <c r="G17" i="14"/>
  <c r="H17" i="14"/>
  <c r="I17" i="14"/>
  <c r="J17" i="14"/>
  <c r="B17" i="14"/>
  <c r="B16" i="14"/>
  <c r="C16" i="14" s="1"/>
  <c r="D16" i="14" s="1"/>
  <c r="E16" i="14" s="1"/>
  <c r="F16" i="14" s="1"/>
  <c r="G16" i="14" s="1"/>
  <c r="H16" i="14" s="1"/>
  <c r="I16" i="14" s="1"/>
  <c r="J16" i="14" s="1"/>
  <c r="F12" i="8"/>
  <c r="G12" i="8" s="1"/>
  <c r="H12" i="8" s="1"/>
  <c r="I12" i="8" s="1"/>
  <c r="J12" i="8" s="1"/>
  <c r="K12" i="8" s="1"/>
  <c r="E12" i="8"/>
  <c r="D12" i="8"/>
  <c r="C12" i="8"/>
  <c r="B11" i="8"/>
  <c r="B12" i="8"/>
  <c r="C116" i="12"/>
  <c r="B116" i="12"/>
  <c r="P122" i="6"/>
  <c r="P123" i="6"/>
  <c r="P124" i="6"/>
  <c r="K125" i="6" s="1"/>
  <c r="P125" i="6"/>
  <c r="P126" i="6"/>
  <c r="J126" i="6" s="1"/>
  <c r="P121" i="6"/>
  <c r="P90" i="6"/>
  <c r="P91" i="6"/>
  <c r="P92" i="6"/>
  <c r="P93" i="6"/>
  <c r="P94" i="6"/>
  <c r="P89" i="6"/>
  <c r="P69" i="6"/>
  <c r="P68" i="6"/>
  <c r="P42" i="6"/>
  <c r="P43" i="6"/>
  <c r="P44" i="6"/>
  <c r="P45" i="6"/>
  <c r="P46" i="6"/>
  <c r="P41" i="6"/>
  <c r="P21" i="6"/>
  <c r="P26" i="6" s="1"/>
  <c r="P20" i="6"/>
  <c r="P25" i="6" s="1"/>
  <c r="P173" i="7"/>
  <c r="P174" i="7"/>
  <c r="P175" i="7"/>
  <c r="P176" i="7"/>
  <c r="P177" i="7"/>
  <c r="P172" i="7"/>
  <c r="P141" i="7"/>
  <c r="P142" i="7"/>
  <c r="P143" i="7"/>
  <c r="P144" i="7"/>
  <c r="P145" i="7"/>
  <c r="P140" i="7"/>
  <c r="P125" i="7"/>
  <c r="P124" i="7"/>
  <c r="P93" i="7"/>
  <c r="P94" i="7"/>
  <c r="P95" i="7"/>
  <c r="P96" i="7"/>
  <c r="P97" i="7"/>
  <c r="P92" i="7"/>
  <c r="P77" i="7"/>
  <c r="P76" i="7"/>
  <c r="P45" i="7"/>
  <c r="P46" i="7"/>
  <c r="P47" i="7"/>
  <c r="P48" i="7"/>
  <c r="P49" i="7"/>
  <c r="P44" i="7"/>
  <c r="P26" i="7"/>
  <c r="P25" i="7"/>
  <c r="I83" i="16"/>
  <c r="I82" i="16"/>
  <c r="G67" i="16"/>
  <c r="I65" i="16"/>
  <c r="I64" i="16"/>
  <c r="G62" i="16"/>
  <c r="G53" i="16"/>
  <c r="I51" i="16"/>
  <c r="I50" i="16"/>
  <c r="G48" i="16"/>
  <c r="G39" i="16"/>
  <c r="I37" i="16"/>
  <c r="I36" i="16"/>
  <c r="G34" i="16"/>
  <c r="A53" i="16"/>
  <c r="A34" i="16"/>
  <c r="A39" i="16"/>
  <c r="A51" i="16"/>
  <c r="A50" i="16"/>
  <c r="A37" i="16"/>
  <c r="A36" i="16"/>
  <c r="C30" i="16"/>
  <c r="D30" i="16" s="1"/>
  <c r="E30" i="16" s="1"/>
  <c r="F30" i="16" s="1"/>
  <c r="G30" i="16" s="1"/>
  <c r="H30" i="16" s="1"/>
  <c r="I30" i="16" s="1"/>
  <c r="J30" i="16" s="1"/>
  <c r="K30" i="16" s="1"/>
  <c r="L30" i="16" s="1"/>
  <c r="C24" i="16"/>
  <c r="D24" i="16" s="1"/>
  <c r="E24" i="16" s="1"/>
  <c r="F24" i="16" s="1"/>
  <c r="G24" i="16" s="1"/>
  <c r="H24" i="16" s="1"/>
  <c r="I24" i="16" s="1"/>
  <c r="J24" i="16" s="1"/>
  <c r="K24" i="16" s="1"/>
  <c r="L24" i="16" s="1"/>
  <c r="C18" i="16"/>
  <c r="D18" i="16" s="1"/>
  <c r="E18" i="16" s="1"/>
  <c r="F18" i="16" s="1"/>
  <c r="G18" i="16" s="1"/>
  <c r="H18" i="16" s="1"/>
  <c r="I18" i="16" s="1"/>
  <c r="J18" i="16" s="1"/>
  <c r="K18" i="16" s="1"/>
  <c r="L18" i="16" s="1"/>
  <c r="A111" i="12"/>
  <c r="L111" i="12"/>
  <c r="A112" i="12"/>
  <c r="L112" i="12"/>
  <c r="A113" i="12"/>
  <c r="L113" i="12"/>
  <c r="B114" i="12"/>
  <c r="C114" i="12"/>
  <c r="D114" i="12"/>
  <c r="E114" i="12"/>
  <c r="F114" i="12"/>
  <c r="G114" i="12"/>
  <c r="H114" i="12"/>
  <c r="I114" i="12"/>
  <c r="J114" i="12"/>
  <c r="K114" i="12"/>
  <c r="L114" i="12"/>
  <c r="C66" i="10"/>
  <c r="D66" i="10"/>
  <c r="E66" i="10"/>
  <c r="F66" i="10"/>
  <c r="G66" i="10"/>
  <c r="H66" i="10"/>
  <c r="I66" i="10"/>
  <c r="J66" i="10"/>
  <c r="K66" i="10"/>
  <c r="C67" i="10"/>
  <c r="D67" i="10"/>
  <c r="E67" i="10"/>
  <c r="F67" i="10"/>
  <c r="G67" i="10"/>
  <c r="H67" i="10"/>
  <c r="I67" i="10"/>
  <c r="J67" i="10"/>
  <c r="K67" i="10"/>
  <c r="C68" i="10"/>
  <c r="D68" i="10"/>
  <c r="E68" i="10"/>
  <c r="F68" i="10"/>
  <c r="G68" i="10"/>
  <c r="H68" i="10"/>
  <c r="I68" i="10"/>
  <c r="J68" i="10"/>
  <c r="K68" i="10"/>
  <c r="A66" i="10"/>
  <c r="A67" i="10"/>
  <c r="A68" i="10"/>
  <c r="D40" i="13"/>
  <c r="E40" i="13" s="1"/>
  <c r="F40" i="13" s="1"/>
  <c r="G40" i="13" s="1"/>
  <c r="H40" i="13" s="1"/>
  <c r="I40" i="13" s="1"/>
  <c r="J40" i="13" s="1"/>
  <c r="K40" i="13" s="1"/>
  <c r="L40" i="13" s="1"/>
  <c r="D41" i="13"/>
  <c r="E41" i="13" s="1"/>
  <c r="F41" i="13" s="1"/>
  <c r="G41" i="13" s="1"/>
  <c r="H41" i="13" s="1"/>
  <c r="I41" i="13" s="1"/>
  <c r="J41" i="13" s="1"/>
  <c r="K41" i="13" s="1"/>
  <c r="L41" i="13" s="1"/>
  <c r="D42" i="13"/>
  <c r="E42" i="13"/>
  <c r="F42" i="13" s="1"/>
  <c r="G42" i="13" s="1"/>
  <c r="H42" i="13" s="1"/>
  <c r="I42" i="13" s="1"/>
  <c r="J42" i="13" s="1"/>
  <c r="K42" i="13" s="1"/>
  <c r="L42" i="13" s="1"/>
  <c r="A40" i="13"/>
  <c r="A41" i="13"/>
  <c r="A42" i="13"/>
  <c r="I67" i="12"/>
  <c r="C44" i="7" s="1"/>
  <c r="I55" i="12"/>
  <c r="E15" i="10"/>
  <c r="F15" i="10" s="1"/>
  <c r="G15" i="10" s="1"/>
  <c r="H15" i="10" s="1"/>
  <c r="I15" i="10" s="1"/>
  <c r="J15" i="10" s="1"/>
  <c r="K15" i="10" s="1"/>
  <c r="L15" i="10" s="1"/>
  <c r="M15" i="10" s="1"/>
  <c r="N15" i="10" s="1"/>
  <c r="E16" i="10"/>
  <c r="L125" i="6"/>
  <c r="J125" i="6"/>
  <c r="L124" i="6"/>
  <c r="K124" i="6"/>
  <c r="J124" i="6"/>
  <c r="I124" i="6"/>
  <c r="L123" i="6"/>
  <c r="K123" i="6"/>
  <c r="J123" i="6"/>
  <c r="I123" i="6"/>
  <c r="L122" i="6"/>
  <c r="K122" i="6"/>
  <c r="J122" i="6"/>
  <c r="I122" i="6"/>
  <c r="L121" i="6"/>
  <c r="K121" i="6"/>
  <c r="J121" i="6"/>
  <c r="I121" i="6"/>
  <c r="C122" i="6"/>
  <c r="G124" i="6" s="1"/>
  <c r="C123" i="6"/>
  <c r="C129" i="6" s="1"/>
  <c r="C124" i="6"/>
  <c r="C125" i="6"/>
  <c r="C126" i="6"/>
  <c r="G126" i="6" s="1"/>
  <c r="C121" i="6"/>
  <c r="D121" i="6" s="1"/>
  <c r="B129" i="6"/>
  <c r="A129" i="6"/>
  <c r="B128" i="6"/>
  <c r="A128" i="6"/>
  <c r="B127" i="6"/>
  <c r="A127" i="6"/>
  <c r="B126" i="6"/>
  <c r="A126" i="6"/>
  <c r="B125" i="6"/>
  <c r="A125" i="6"/>
  <c r="B124" i="6"/>
  <c r="A124" i="6"/>
  <c r="B123" i="6"/>
  <c r="A123" i="6"/>
  <c r="B122" i="6"/>
  <c r="A122" i="6"/>
  <c r="B121" i="6"/>
  <c r="A121" i="6"/>
  <c r="C120" i="6"/>
  <c r="D120" i="6" s="1"/>
  <c r="E120" i="6" s="1"/>
  <c r="F120" i="6" s="1"/>
  <c r="G120" i="6" s="1"/>
  <c r="H120" i="6" s="1"/>
  <c r="I120" i="6" s="1"/>
  <c r="J120" i="6" s="1"/>
  <c r="K120" i="6" s="1"/>
  <c r="L120" i="6" s="1"/>
  <c r="B83" i="7"/>
  <c r="B84" i="7"/>
  <c r="B67" i="7"/>
  <c r="B68" i="7"/>
  <c r="B51" i="7"/>
  <c r="B52" i="7"/>
  <c r="B32" i="7"/>
  <c r="B33" i="7"/>
  <c r="C45" i="7"/>
  <c r="I68" i="12"/>
  <c r="I69" i="12"/>
  <c r="C46" i="7" s="1"/>
  <c r="I70" i="12"/>
  <c r="C47" i="7" s="1"/>
  <c r="I71" i="12"/>
  <c r="C48" i="7" s="1"/>
  <c r="I72" i="12"/>
  <c r="C49" i="7" s="1"/>
  <c r="B56" i="10"/>
  <c r="C10" i="13"/>
  <c r="C9" i="13"/>
  <c r="D30" i="13" s="1"/>
  <c r="C8" i="13"/>
  <c r="A9" i="13"/>
  <c r="A30" i="13" s="1"/>
  <c r="A8" i="13"/>
  <c r="P74" i="6"/>
  <c r="P73" i="6"/>
  <c r="O69" i="6"/>
  <c r="O68" i="6"/>
  <c r="O21" i="6"/>
  <c r="O20" i="6"/>
  <c r="H65" i="12"/>
  <c r="F63" i="12"/>
  <c r="A63" i="12"/>
  <c r="G72" i="12"/>
  <c r="F72" i="12"/>
  <c r="G71" i="12"/>
  <c r="F71" i="12"/>
  <c r="G70" i="12"/>
  <c r="F70" i="12"/>
  <c r="G69" i="12"/>
  <c r="F69" i="12"/>
  <c r="G68" i="12"/>
  <c r="F68" i="12"/>
  <c r="G67" i="12"/>
  <c r="F67" i="12"/>
  <c r="I56" i="12"/>
  <c r="I57" i="12"/>
  <c r="I58" i="12"/>
  <c r="I59" i="12"/>
  <c r="I60" i="12"/>
  <c r="F51" i="12"/>
  <c r="Q60" i="12"/>
  <c r="P60" i="12"/>
  <c r="Q59" i="12"/>
  <c r="P59" i="12"/>
  <c r="Q58" i="12"/>
  <c r="P58" i="12"/>
  <c r="Q57" i="12"/>
  <c r="P57" i="12"/>
  <c r="Q56" i="12"/>
  <c r="P56" i="12"/>
  <c r="Q55" i="12"/>
  <c r="P55" i="12"/>
  <c r="R53" i="12"/>
  <c r="H53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J41" i="12"/>
  <c r="J48" i="12"/>
  <c r="I48" i="12"/>
  <c r="H48" i="12"/>
  <c r="J47" i="12"/>
  <c r="I47" i="12"/>
  <c r="H47" i="12"/>
  <c r="J46" i="12"/>
  <c r="I46" i="12"/>
  <c r="H46" i="12"/>
  <c r="J45" i="12"/>
  <c r="I45" i="12"/>
  <c r="H45" i="12"/>
  <c r="J44" i="12"/>
  <c r="I44" i="12"/>
  <c r="H44" i="12"/>
  <c r="J43" i="12"/>
  <c r="I43" i="12"/>
  <c r="H43" i="12"/>
  <c r="L18" i="12"/>
  <c r="A56" i="10" l="1"/>
  <c r="D116" i="12"/>
  <c r="L126" i="6"/>
  <c r="K126" i="6"/>
  <c r="I125" i="6"/>
  <c r="H125" i="6"/>
  <c r="I126" i="6"/>
  <c r="K129" i="6"/>
  <c r="D122" i="6"/>
  <c r="E30" i="13"/>
  <c r="C56" i="10"/>
  <c r="E122" i="6"/>
  <c r="H126" i="6"/>
  <c r="D123" i="6"/>
  <c r="E121" i="6"/>
  <c r="C131" i="6"/>
  <c r="G121" i="6"/>
  <c r="F122" i="6"/>
  <c r="E123" i="6"/>
  <c r="D124" i="6"/>
  <c r="D127" i="6" s="1"/>
  <c r="K128" i="6"/>
  <c r="H121" i="6"/>
  <c r="G122" i="6"/>
  <c r="F123" i="6"/>
  <c r="E124" i="6"/>
  <c r="D125" i="6"/>
  <c r="D128" i="6" s="1"/>
  <c r="F121" i="6"/>
  <c r="H122" i="6"/>
  <c r="G123" i="6"/>
  <c r="G129" i="6" s="1"/>
  <c r="F124" i="6"/>
  <c r="E125" i="6"/>
  <c r="E128" i="6" s="1"/>
  <c r="D126" i="6"/>
  <c r="H123" i="6"/>
  <c r="F125" i="6"/>
  <c r="C128" i="6"/>
  <c r="H124" i="6"/>
  <c r="G125" i="6"/>
  <c r="G131" i="6" s="1"/>
  <c r="E126" i="6"/>
  <c r="F126" i="6"/>
  <c r="L129" i="6"/>
  <c r="I129" i="6"/>
  <c r="I131" i="6"/>
  <c r="J129" i="6"/>
  <c r="J131" i="6"/>
  <c r="J128" i="6"/>
  <c r="I128" i="6"/>
  <c r="L128" i="6"/>
  <c r="K131" i="6"/>
  <c r="L131" i="6"/>
  <c r="J127" i="6"/>
  <c r="I127" i="6"/>
  <c r="K130" i="6"/>
  <c r="L130" i="6"/>
  <c r="H128" i="6"/>
  <c r="C130" i="6"/>
  <c r="C127" i="6"/>
  <c r="K127" i="6"/>
  <c r="I130" i="6"/>
  <c r="L127" i="6"/>
  <c r="J130" i="6"/>
  <c r="N5" i="11"/>
  <c r="N6" i="11"/>
  <c r="N4" i="11"/>
  <c r="A105" i="12"/>
  <c r="A98" i="12"/>
  <c r="A97" i="12"/>
  <c r="A96" i="12"/>
  <c r="A95" i="12"/>
  <c r="A94" i="12"/>
  <c r="A93" i="12"/>
  <c r="A92" i="12"/>
  <c r="A75" i="12"/>
  <c r="A86" i="12"/>
  <c r="A85" i="12"/>
  <c r="A84" i="12"/>
  <c r="P63" i="12"/>
  <c r="K63" i="12"/>
  <c r="K51" i="12"/>
  <c r="A51" i="12"/>
  <c r="A102" i="6"/>
  <c r="A86" i="6"/>
  <c r="A153" i="7"/>
  <c r="A137" i="7"/>
  <c r="A121" i="7"/>
  <c r="A105" i="7"/>
  <c r="A89" i="7"/>
  <c r="A73" i="7"/>
  <c r="A57" i="7"/>
  <c r="A41" i="7"/>
  <c r="A22" i="7"/>
  <c r="A70" i="6"/>
  <c r="A54" i="6"/>
  <c r="A38" i="6"/>
  <c r="A22" i="6"/>
  <c r="O74" i="6"/>
  <c r="O73" i="6"/>
  <c r="O26" i="6"/>
  <c r="O25" i="6"/>
  <c r="A8" i="10"/>
  <c r="A24" i="10" s="1"/>
  <c r="A18" i="10"/>
  <c r="A14" i="10"/>
  <c r="A13" i="10"/>
  <c r="A12" i="10"/>
  <c r="A11" i="10"/>
  <c r="A10" i="10"/>
  <c r="A30" i="10" s="1"/>
  <c r="A9" i="10"/>
  <c r="A27" i="10" s="1"/>
  <c r="A14" i="13"/>
  <c r="A61" i="10" s="1"/>
  <c r="A13" i="13"/>
  <c r="A60" i="10" s="1"/>
  <c r="A39" i="7"/>
  <c r="O26" i="7"/>
  <c r="O25" i="7"/>
  <c r="A12" i="13"/>
  <c r="A33" i="13" s="1"/>
  <c r="O77" i="7"/>
  <c r="O76" i="7"/>
  <c r="O125" i="7"/>
  <c r="O124" i="7"/>
  <c r="A180" i="7"/>
  <c r="A179" i="7"/>
  <c r="A178" i="7"/>
  <c r="O177" i="7"/>
  <c r="O176" i="7"/>
  <c r="A29" i="13"/>
  <c r="L38" i="10"/>
  <c r="L37" i="10"/>
  <c r="L36" i="10"/>
  <c r="L35" i="10"/>
  <c r="L34" i="10"/>
  <c r="L33" i="10"/>
  <c r="L24" i="10"/>
  <c r="B63" i="10"/>
  <c r="B62" i="10"/>
  <c r="B61" i="10"/>
  <c r="B60" i="10"/>
  <c r="B59" i="10"/>
  <c r="B57" i="10"/>
  <c r="B55" i="10"/>
  <c r="B58" i="10"/>
  <c r="A36" i="10"/>
  <c r="A33" i="10"/>
  <c r="A21" i="8"/>
  <c r="A20" i="8"/>
  <c r="A19" i="8"/>
  <c r="A18" i="8"/>
  <c r="A17" i="8"/>
  <c r="A33" i="8"/>
  <c r="A34" i="8"/>
  <c r="A32" i="8"/>
  <c r="B26" i="8"/>
  <c r="B25" i="8"/>
  <c r="B24" i="8"/>
  <c r="B23" i="8"/>
  <c r="B21" i="8"/>
  <c r="B20" i="8"/>
  <c r="B19" i="8"/>
  <c r="B18" i="8"/>
  <c r="B17" i="8"/>
  <c r="A9" i="8"/>
  <c r="A10" i="8"/>
  <c r="A8" i="8"/>
  <c r="D37" i="13"/>
  <c r="E37" i="13" s="1"/>
  <c r="D36" i="13"/>
  <c r="E36" i="13" s="1"/>
  <c r="D62" i="10" s="1"/>
  <c r="D35" i="13"/>
  <c r="E35" i="13" s="1"/>
  <c r="D34" i="13"/>
  <c r="E34" i="13" s="1"/>
  <c r="F34" i="13" s="1"/>
  <c r="D33" i="13"/>
  <c r="E33" i="13" s="1"/>
  <c r="D59" i="10" s="1"/>
  <c r="D32" i="13"/>
  <c r="E32" i="13" s="1"/>
  <c r="D58" i="10" s="1"/>
  <c r="D31" i="13"/>
  <c r="E31" i="13" s="1"/>
  <c r="D29" i="13"/>
  <c r="E29" i="13" s="1"/>
  <c r="D55" i="10" s="1"/>
  <c r="P22" i="2"/>
  <c r="Q22" i="2" s="1"/>
  <c r="C41" i="6"/>
  <c r="D41" i="6" s="1"/>
  <c r="C8" i="4"/>
  <c r="D8" i="4" s="1"/>
  <c r="E8" i="4" s="1"/>
  <c r="F8" i="4" s="1"/>
  <c r="G8" i="4" s="1"/>
  <c r="H8" i="4" s="1"/>
  <c r="I8" i="4" s="1"/>
  <c r="J8" i="4" s="1"/>
  <c r="K8" i="4" s="1"/>
  <c r="P23" i="2"/>
  <c r="C19" i="4"/>
  <c r="D19" i="4" s="1"/>
  <c r="E19" i="4" s="1"/>
  <c r="F19" i="4" s="1"/>
  <c r="G19" i="4" s="1"/>
  <c r="H19" i="4" s="1"/>
  <c r="I19" i="4" s="1"/>
  <c r="J19" i="4" s="1"/>
  <c r="K19" i="4" s="1"/>
  <c r="L19" i="4" s="1"/>
  <c r="C42" i="6"/>
  <c r="D90" i="6" s="1"/>
  <c r="C9" i="4"/>
  <c r="D9" i="4" s="1"/>
  <c r="E9" i="4" s="1"/>
  <c r="F9" i="4" s="1"/>
  <c r="G9" i="4" s="1"/>
  <c r="H9" i="4" s="1"/>
  <c r="I9" i="4" s="1"/>
  <c r="J9" i="4" s="1"/>
  <c r="K9" i="4" s="1"/>
  <c r="L9" i="4" s="1"/>
  <c r="P24" i="2"/>
  <c r="C20" i="4"/>
  <c r="D20" i="4" s="1"/>
  <c r="E20" i="4" s="1"/>
  <c r="F20" i="4" s="1"/>
  <c r="G20" i="4" s="1"/>
  <c r="H20" i="4" s="1"/>
  <c r="I20" i="4" s="1"/>
  <c r="J20" i="4" s="1"/>
  <c r="K20" i="4" s="1"/>
  <c r="C43" i="6"/>
  <c r="E43" i="6" s="1"/>
  <c r="E11" i="10"/>
  <c r="F11" i="10" s="1"/>
  <c r="G11" i="10" s="1"/>
  <c r="H11" i="10" s="1"/>
  <c r="I11" i="10" s="1"/>
  <c r="J11" i="10" s="1"/>
  <c r="K11" i="10" s="1"/>
  <c r="L11" i="10" s="1"/>
  <c r="M11" i="10" s="1"/>
  <c r="N11" i="10" s="1"/>
  <c r="P27" i="2"/>
  <c r="Q27" i="2" s="1"/>
  <c r="C44" i="6"/>
  <c r="G44" i="6" s="1"/>
  <c r="C11" i="4"/>
  <c r="D11" i="4" s="1"/>
  <c r="E11" i="4" s="1"/>
  <c r="F11" i="4" s="1"/>
  <c r="G11" i="4" s="1"/>
  <c r="H11" i="4" s="1"/>
  <c r="I11" i="4" s="1"/>
  <c r="J11" i="4" s="1"/>
  <c r="K11" i="4" s="1"/>
  <c r="L11" i="4" s="1"/>
  <c r="P28" i="2"/>
  <c r="C22" i="4"/>
  <c r="D22" i="4" s="1"/>
  <c r="E22" i="4" s="1"/>
  <c r="F22" i="4" s="1"/>
  <c r="G22" i="4" s="1"/>
  <c r="H22" i="4" s="1"/>
  <c r="I22" i="4" s="1"/>
  <c r="J22" i="4" s="1"/>
  <c r="K22" i="4" s="1"/>
  <c r="L22" i="4" s="1"/>
  <c r="C45" i="6"/>
  <c r="D45" i="6" s="1"/>
  <c r="C12" i="4"/>
  <c r="D12" i="4" s="1"/>
  <c r="E12" i="4" s="1"/>
  <c r="F12" i="4" s="1"/>
  <c r="G12" i="4" s="1"/>
  <c r="H12" i="4" s="1"/>
  <c r="I12" i="4" s="1"/>
  <c r="J12" i="4" s="1"/>
  <c r="K12" i="4" s="1"/>
  <c r="P29" i="2"/>
  <c r="C23" i="4"/>
  <c r="D23" i="4" s="1"/>
  <c r="E23" i="4" s="1"/>
  <c r="F23" i="4" s="1"/>
  <c r="G23" i="4" s="1"/>
  <c r="H23" i="4" s="1"/>
  <c r="I23" i="4" s="1"/>
  <c r="J23" i="4" s="1"/>
  <c r="K23" i="4" s="1"/>
  <c r="L23" i="4" s="1"/>
  <c r="C46" i="6"/>
  <c r="D46" i="6" s="1"/>
  <c r="C89" i="6"/>
  <c r="G89" i="6" s="1"/>
  <c r="C90" i="6"/>
  <c r="E90" i="6" s="1"/>
  <c r="C91" i="6"/>
  <c r="E91" i="6" s="1"/>
  <c r="E13" i="10"/>
  <c r="F13" i="10" s="1"/>
  <c r="G13" i="10" s="1"/>
  <c r="H13" i="10" s="1"/>
  <c r="C92" i="6"/>
  <c r="H92" i="6" s="1"/>
  <c r="C93" i="6"/>
  <c r="E93" i="6" s="1"/>
  <c r="C94" i="6"/>
  <c r="E94" i="6" s="1"/>
  <c r="B8" i="8"/>
  <c r="C8" i="8" s="1"/>
  <c r="D8" i="8" s="1"/>
  <c r="E8" i="8" s="1"/>
  <c r="F8" i="8" s="1"/>
  <c r="G8" i="8" s="1"/>
  <c r="H8" i="8" s="1"/>
  <c r="I8" i="8" s="1"/>
  <c r="J8" i="8" s="1"/>
  <c r="K8" i="8" s="1"/>
  <c r="B9" i="8"/>
  <c r="C9" i="8"/>
  <c r="D9" i="8" s="1"/>
  <c r="E9" i="8" s="1"/>
  <c r="F9" i="8" s="1"/>
  <c r="G9" i="8" s="1"/>
  <c r="H9" i="8" s="1"/>
  <c r="I9" i="8" s="1"/>
  <c r="J9" i="8" s="1"/>
  <c r="K9" i="8" s="1"/>
  <c r="B10" i="8"/>
  <c r="C10" i="8" s="1"/>
  <c r="H93" i="6"/>
  <c r="I41" i="6"/>
  <c r="I42" i="6"/>
  <c r="I43" i="6"/>
  <c r="I44" i="6"/>
  <c r="I45" i="6"/>
  <c r="I46" i="6"/>
  <c r="I49" i="6" s="1"/>
  <c r="I89" i="6"/>
  <c r="I90" i="6"/>
  <c r="I91" i="6"/>
  <c r="I92" i="6"/>
  <c r="I95" i="6" s="1"/>
  <c r="I93" i="6"/>
  <c r="I94" i="6"/>
  <c r="J41" i="6"/>
  <c r="J42" i="6"/>
  <c r="J43" i="6"/>
  <c r="J44" i="6"/>
  <c r="J45" i="6"/>
  <c r="J46" i="6"/>
  <c r="J89" i="6"/>
  <c r="J90" i="6"/>
  <c r="J91" i="6"/>
  <c r="J92" i="6"/>
  <c r="J93" i="6"/>
  <c r="J94" i="6"/>
  <c r="K41" i="6"/>
  <c r="K42" i="6"/>
  <c r="K43" i="6"/>
  <c r="K44" i="6"/>
  <c r="K45" i="6"/>
  <c r="K46" i="6"/>
  <c r="K49" i="6" s="1"/>
  <c r="K89" i="6"/>
  <c r="K90" i="6"/>
  <c r="K91" i="6"/>
  <c r="K92" i="6"/>
  <c r="K93" i="6"/>
  <c r="K94" i="6"/>
  <c r="L41" i="6"/>
  <c r="L42" i="6"/>
  <c r="L48" i="6" s="1"/>
  <c r="L43" i="6"/>
  <c r="L44" i="6"/>
  <c r="L45" i="6"/>
  <c r="L46" i="6"/>
  <c r="L51" i="6" s="1"/>
  <c r="L89" i="6"/>
  <c r="L90" i="6"/>
  <c r="L91" i="6"/>
  <c r="L92" i="6"/>
  <c r="L93" i="6"/>
  <c r="L94" i="6"/>
  <c r="E44" i="7"/>
  <c r="E45" i="7"/>
  <c r="E46" i="7"/>
  <c r="E8" i="10"/>
  <c r="F8" i="10" s="1"/>
  <c r="G8" i="10" s="1"/>
  <c r="C105" i="12"/>
  <c r="E18" i="10" s="1"/>
  <c r="F18" i="10" s="1"/>
  <c r="E47" i="7"/>
  <c r="E48" i="7"/>
  <c r="E49" i="7"/>
  <c r="C140" i="7"/>
  <c r="E140" i="7" s="1"/>
  <c r="C141" i="7"/>
  <c r="E141" i="7" s="1"/>
  <c r="E147" i="7" s="1"/>
  <c r="C142" i="7"/>
  <c r="E142" i="7" s="1"/>
  <c r="E10" i="10"/>
  <c r="F10" i="10" s="1"/>
  <c r="G10" i="10" s="1"/>
  <c r="H10" i="10" s="1"/>
  <c r="I10" i="10" s="1"/>
  <c r="J10" i="10" s="1"/>
  <c r="K10" i="10" s="1"/>
  <c r="L10" i="10" s="1"/>
  <c r="M10" i="10" s="1"/>
  <c r="N10" i="10" s="1"/>
  <c r="C143" i="7"/>
  <c r="E143" i="7" s="1"/>
  <c r="C144" i="7"/>
  <c r="E144" i="7" s="1"/>
  <c r="C145" i="7"/>
  <c r="F145" i="7" s="1"/>
  <c r="C172" i="7"/>
  <c r="D172" i="7" s="1"/>
  <c r="C175" i="7"/>
  <c r="D175" i="7" s="1"/>
  <c r="E175" i="7" s="1"/>
  <c r="F175" i="7" s="1"/>
  <c r="G175" i="7" s="1"/>
  <c r="H175" i="7" s="1"/>
  <c r="I175" i="7" s="1"/>
  <c r="J175" i="7" s="1"/>
  <c r="K175" i="7" s="1"/>
  <c r="L175" i="7" s="1"/>
  <c r="C178" i="7"/>
  <c r="D178" i="7" s="1"/>
  <c r="E17" i="10"/>
  <c r="F17" i="10" s="1"/>
  <c r="G17" i="10" s="1"/>
  <c r="C173" i="7"/>
  <c r="D173" i="7" s="1"/>
  <c r="E173" i="7" s="1"/>
  <c r="C176" i="7"/>
  <c r="D176" i="7" s="1"/>
  <c r="C179" i="7"/>
  <c r="D179" i="7" s="1"/>
  <c r="E179" i="7" s="1"/>
  <c r="F179" i="7" s="1"/>
  <c r="G179" i="7" s="1"/>
  <c r="H179" i="7" s="1"/>
  <c r="I179" i="7" s="1"/>
  <c r="J179" i="7" s="1"/>
  <c r="K179" i="7" s="1"/>
  <c r="L179" i="7" s="1"/>
  <c r="I44" i="7"/>
  <c r="I45" i="7"/>
  <c r="I46" i="7"/>
  <c r="I47" i="7"/>
  <c r="I48" i="7"/>
  <c r="I49" i="7"/>
  <c r="I140" i="7"/>
  <c r="I141" i="7"/>
  <c r="I142" i="7"/>
  <c r="I143" i="7"/>
  <c r="I144" i="7"/>
  <c r="I145" i="7"/>
  <c r="J44" i="7"/>
  <c r="J45" i="7"/>
  <c r="J46" i="7"/>
  <c r="J47" i="7"/>
  <c r="J48" i="7"/>
  <c r="J49" i="7"/>
  <c r="J52" i="7" s="1"/>
  <c r="J140" i="7"/>
  <c r="J141" i="7"/>
  <c r="J142" i="7"/>
  <c r="J143" i="7"/>
  <c r="J144" i="7"/>
  <c r="J145" i="7"/>
  <c r="K44" i="7"/>
  <c r="K45" i="7"/>
  <c r="K46" i="7"/>
  <c r="K47" i="7"/>
  <c r="K48" i="7"/>
  <c r="K49" i="7"/>
  <c r="K140" i="7"/>
  <c r="K141" i="7"/>
  <c r="K142" i="7"/>
  <c r="K143" i="7"/>
  <c r="K144" i="7"/>
  <c r="K145" i="7"/>
  <c r="K148" i="7" s="1"/>
  <c r="L44" i="7"/>
  <c r="L45" i="7"/>
  <c r="L46" i="7"/>
  <c r="L47" i="7"/>
  <c r="L48" i="7"/>
  <c r="L49" i="7"/>
  <c r="L52" i="7" s="1"/>
  <c r="L140" i="7"/>
  <c r="L141" i="7"/>
  <c r="L142" i="7"/>
  <c r="L143" i="7"/>
  <c r="L144" i="7"/>
  <c r="L145" i="7"/>
  <c r="B7" i="14"/>
  <c r="C7" i="14" s="1"/>
  <c r="D7" i="14" s="1"/>
  <c r="E7" i="14" s="1"/>
  <c r="F7" i="14" s="1"/>
  <c r="G7" i="14" s="1"/>
  <c r="H7" i="14" s="1"/>
  <c r="I7" i="14" s="1"/>
  <c r="J7" i="14" s="1"/>
  <c r="L5" i="14"/>
  <c r="B17" i="1"/>
  <c r="B18" i="1"/>
  <c r="B19" i="1"/>
  <c r="B20" i="1"/>
  <c r="B21" i="1"/>
  <c r="B16" i="1"/>
  <c r="B9" i="1"/>
  <c r="B10" i="1"/>
  <c r="B11" i="1"/>
  <c r="B27" i="1" s="1"/>
  <c r="B12" i="1"/>
  <c r="B13" i="1"/>
  <c r="B8" i="1"/>
  <c r="N12" i="1"/>
  <c r="N11" i="1"/>
  <c r="G18" i="12"/>
  <c r="K5" i="8"/>
  <c r="C10" i="4"/>
  <c r="D10" i="4" s="1"/>
  <c r="E10" i="4" s="1"/>
  <c r="AC13" i="4"/>
  <c r="AD13" i="4" s="1"/>
  <c r="AE13" i="4" s="1"/>
  <c r="P13" i="4"/>
  <c r="Q13" i="4" s="1"/>
  <c r="C13" i="4"/>
  <c r="D13" i="4" s="1"/>
  <c r="E13" i="4" s="1"/>
  <c r="AC10" i="4"/>
  <c r="AD10" i="4" s="1"/>
  <c r="P10" i="4"/>
  <c r="Q10" i="4" s="1"/>
  <c r="R10" i="4" s="1"/>
  <c r="AB23" i="4"/>
  <c r="AA23" i="4"/>
  <c r="AB22" i="4"/>
  <c r="AA22" i="4"/>
  <c r="AB21" i="4"/>
  <c r="AA21" i="4"/>
  <c r="AB20" i="4"/>
  <c r="AA20" i="4"/>
  <c r="AB19" i="4"/>
  <c r="AA19" i="4"/>
  <c r="AB18" i="4"/>
  <c r="AA18" i="4"/>
  <c r="AB13" i="4"/>
  <c r="AA13" i="4"/>
  <c r="AB12" i="4"/>
  <c r="AA12" i="4"/>
  <c r="AB11" i="4"/>
  <c r="AA11" i="4"/>
  <c r="AB10" i="4"/>
  <c r="AA10" i="4"/>
  <c r="AB9" i="4"/>
  <c r="AA9" i="4"/>
  <c r="AB8" i="4"/>
  <c r="AA8" i="4"/>
  <c r="O23" i="4"/>
  <c r="N23" i="4"/>
  <c r="O22" i="4"/>
  <c r="N22" i="4"/>
  <c r="O21" i="4"/>
  <c r="N21" i="4"/>
  <c r="O20" i="4"/>
  <c r="N20" i="4"/>
  <c r="O19" i="4"/>
  <c r="N19" i="4"/>
  <c r="O18" i="4"/>
  <c r="N18" i="4"/>
  <c r="O13" i="4"/>
  <c r="N13" i="4"/>
  <c r="O12" i="4"/>
  <c r="N12" i="4"/>
  <c r="O11" i="4"/>
  <c r="N11" i="4"/>
  <c r="O10" i="4"/>
  <c r="N10" i="4"/>
  <c r="O9" i="4"/>
  <c r="N9" i="4"/>
  <c r="O8" i="4"/>
  <c r="N8" i="4"/>
  <c r="B23" i="4"/>
  <c r="A23" i="4"/>
  <c r="B22" i="4"/>
  <c r="A22" i="4"/>
  <c r="B21" i="4"/>
  <c r="A21" i="4"/>
  <c r="B20" i="4"/>
  <c r="A20" i="4"/>
  <c r="B19" i="4"/>
  <c r="A19" i="4"/>
  <c r="B18" i="4"/>
  <c r="A18" i="4"/>
  <c r="A13" i="4"/>
  <c r="A12" i="4"/>
  <c r="A11" i="4"/>
  <c r="A10" i="4"/>
  <c r="A9" i="4"/>
  <c r="A8" i="4"/>
  <c r="B13" i="4"/>
  <c r="B12" i="4"/>
  <c r="B11" i="4"/>
  <c r="B10" i="4"/>
  <c r="B9" i="4"/>
  <c r="B8" i="4"/>
  <c r="B113" i="6"/>
  <c r="A113" i="6"/>
  <c r="B112" i="6"/>
  <c r="A112" i="6"/>
  <c r="B111" i="6"/>
  <c r="A111" i="6"/>
  <c r="B110" i="6"/>
  <c r="A110" i="6"/>
  <c r="B109" i="6"/>
  <c r="A109" i="6"/>
  <c r="B108" i="6"/>
  <c r="A108" i="6"/>
  <c r="B107" i="6"/>
  <c r="A107" i="6"/>
  <c r="B106" i="6"/>
  <c r="A106" i="6"/>
  <c r="B105" i="6"/>
  <c r="A105" i="6"/>
  <c r="B97" i="6"/>
  <c r="A97" i="6"/>
  <c r="B96" i="6"/>
  <c r="A96" i="6"/>
  <c r="B95" i="6"/>
  <c r="A95" i="6"/>
  <c r="B94" i="6"/>
  <c r="A94" i="6"/>
  <c r="B93" i="6"/>
  <c r="A93" i="6"/>
  <c r="B92" i="6"/>
  <c r="A92" i="6"/>
  <c r="B91" i="6"/>
  <c r="A91" i="6"/>
  <c r="B90" i="6"/>
  <c r="A90" i="6"/>
  <c r="B89" i="6"/>
  <c r="A89" i="6"/>
  <c r="B81" i="6"/>
  <c r="A8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164" i="7"/>
  <c r="A164" i="7"/>
  <c r="B163" i="7"/>
  <c r="A163" i="7"/>
  <c r="B162" i="7"/>
  <c r="A162" i="7"/>
  <c r="B161" i="7"/>
  <c r="A161" i="7"/>
  <c r="B160" i="7"/>
  <c r="A160" i="7"/>
  <c r="B159" i="7"/>
  <c r="A159" i="7"/>
  <c r="B158" i="7"/>
  <c r="A158" i="7"/>
  <c r="B157" i="7"/>
  <c r="A157" i="7"/>
  <c r="B156" i="7"/>
  <c r="A156" i="7"/>
  <c r="B148" i="7"/>
  <c r="A148" i="7"/>
  <c r="B147" i="7"/>
  <c r="A147" i="7"/>
  <c r="B146" i="7"/>
  <c r="A146" i="7"/>
  <c r="B145" i="7"/>
  <c r="A145" i="7"/>
  <c r="B144" i="7"/>
  <c r="A144" i="7"/>
  <c r="B143" i="7"/>
  <c r="A143" i="7"/>
  <c r="B142" i="7"/>
  <c r="A142" i="7"/>
  <c r="B141" i="7"/>
  <c r="A141" i="7"/>
  <c r="B140" i="7"/>
  <c r="A140" i="7"/>
  <c r="B132" i="7"/>
  <c r="A132" i="7"/>
  <c r="B131" i="7"/>
  <c r="A131" i="7"/>
  <c r="B130" i="7"/>
  <c r="A130" i="7"/>
  <c r="B129" i="7"/>
  <c r="A129" i="7"/>
  <c r="B128" i="7"/>
  <c r="A128" i="7"/>
  <c r="B127" i="7"/>
  <c r="A127" i="7"/>
  <c r="B126" i="7"/>
  <c r="A126" i="7"/>
  <c r="B125" i="7"/>
  <c r="A125" i="7"/>
  <c r="B124" i="7"/>
  <c r="A124" i="7"/>
  <c r="B116" i="7"/>
  <c r="A116" i="7"/>
  <c r="B115" i="7"/>
  <c r="A115" i="7"/>
  <c r="B114" i="7"/>
  <c r="A114" i="7"/>
  <c r="B113" i="7"/>
  <c r="A113" i="7"/>
  <c r="B112" i="7"/>
  <c r="A112" i="7"/>
  <c r="B111" i="7"/>
  <c r="A111" i="7"/>
  <c r="B110" i="7"/>
  <c r="A110" i="7"/>
  <c r="B109" i="7"/>
  <c r="A109" i="7"/>
  <c r="B108" i="7"/>
  <c r="A108" i="7"/>
  <c r="B100" i="7"/>
  <c r="A100" i="7"/>
  <c r="B99" i="7"/>
  <c r="A99" i="7"/>
  <c r="B98" i="7"/>
  <c r="A98" i="7"/>
  <c r="B97" i="7"/>
  <c r="A97" i="7"/>
  <c r="B96" i="7"/>
  <c r="A96" i="7"/>
  <c r="B95" i="7"/>
  <c r="A95" i="7"/>
  <c r="B94" i="7"/>
  <c r="A94" i="7"/>
  <c r="B93" i="7"/>
  <c r="A93" i="7"/>
  <c r="B92" i="7"/>
  <c r="A92" i="7"/>
  <c r="A84" i="7"/>
  <c r="A83" i="7"/>
  <c r="B82" i="7"/>
  <c r="A82" i="7"/>
  <c r="B81" i="7"/>
  <c r="A81" i="7"/>
  <c r="B80" i="7"/>
  <c r="A80" i="7"/>
  <c r="B79" i="7"/>
  <c r="A79" i="7"/>
  <c r="B78" i="7"/>
  <c r="A78" i="7"/>
  <c r="B77" i="7"/>
  <c r="A77" i="7"/>
  <c r="B76" i="7"/>
  <c r="A76" i="7"/>
  <c r="A68" i="7"/>
  <c r="A67" i="7"/>
  <c r="B66" i="7"/>
  <c r="A66" i="7"/>
  <c r="B65" i="7"/>
  <c r="A65" i="7"/>
  <c r="B64" i="7"/>
  <c r="A64" i="7"/>
  <c r="B63" i="7"/>
  <c r="A63" i="7"/>
  <c r="B62" i="7"/>
  <c r="A62" i="7"/>
  <c r="B61" i="7"/>
  <c r="A61" i="7"/>
  <c r="B60" i="7"/>
  <c r="A60" i="7"/>
  <c r="A52" i="7"/>
  <c r="A51" i="7"/>
  <c r="B50" i="7"/>
  <c r="A50" i="7"/>
  <c r="B49" i="7"/>
  <c r="A49" i="7"/>
  <c r="B48" i="7"/>
  <c r="A48" i="7"/>
  <c r="B47" i="7"/>
  <c r="A47" i="7"/>
  <c r="B46" i="7"/>
  <c r="A46" i="7"/>
  <c r="B45" i="7"/>
  <c r="A45" i="7"/>
  <c r="B44" i="7"/>
  <c r="A44" i="7"/>
  <c r="B31" i="7"/>
  <c r="B30" i="7"/>
  <c r="B29" i="7"/>
  <c r="B28" i="7"/>
  <c r="B27" i="7"/>
  <c r="B26" i="7"/>
  <c r="B25" i="7"/>
  <c r="A33" i="7"/>
  <c r="A32" i="7"/>
  <c r="A31" i="7"/>
  <c r="A30" i="7"/>
  <c r="A29" i="7"/>
  <c r="A28" i="7"/>
  <c r="A27" i="7"/>
  <c r="A26" i="7"/>
  <c r="A25" i="7"/>
  <c r="B20" i="7"/>
  <c r="A20" i="7"/>
  <c r="B19" i="7"/>
  <c r="A19" i="7"/>
  <c r="B18" i="7"/>
  <c r="A18" i="7"/>
  <c r="B15" i="7"/>
  <c r="A15" i="7"/>
  <c r="B14" i="7"/>
  <c r="A14" i="7"/>
  <c r="B13" i="7"/>
  <c r="A13" i="7"/>
  <c r="B10" i="7"/>
  <c r="A10" i="7"/>
  <c r="B9" i="7"/>
  <c r="A9" i="7"/>
  <c r="B8" i="7"/>
  <c r="A8" i="7"/>
  <c r="B20" i="6"/>
  <c r="A20" i="6"/>
  <c r="B19" i="6"/>
  <c r="A19" i="6"/>
  <c r="B18" i="6"/>
  <c r="A18" i="6"/>
  <c r="B15" i="6"/>
  <c r="A15" i="6"/>
  <c r="B14" i="6"/>
  <c r="A14" i="6"/>
  <c r="B13" i="6"/>
  <c r="A13" i="6"/>
  <c r="B10" i="6"/>
  <c r="A10" i="6"/>
  <c r="B9" i="6"/>
  <c r="A9" i="6"/>
  <c r="B8" i="6"/>
  <c r="A8" i="6"/>
  <c r="AO34" i="2"/>
  <c r="AO33" i="2"/>
  <c r="AO32" i="2"/>
  <c r="AO29" i="2"/>
  <c r="AO28" i="2"/>
  <c r="AO27" i="2"/>
  <c r="AO24" i="2"/>
  <c r="AO23" i="2"/>
  <c r="AO22" i="2"/>
  <c r="AB34" i="2"/>
  <c r="AB33" i="2"/>
  <c r="AB32" i="2"/>
  <c r="AB29" i="2"/>
  <c r="AB28" i="2"/>
  <c r="AB27" i="2"/>
  <c r="AB24" i="2"/>
  <c r="AB23" i="2"/>
  <c r="AB22" i="2"/>
  <c r="O34" i="2"/>
  <c r="O33" i="2"/>
  <c r="O32" i="2"/>
  <c r="O29" i="2"/>
  <c r="O28" i="2"/>
  <c r="O27" i="2"/>
  <c r="B34" i="2"/>
  <c r="B33" i="2"/>
  <c r="B32" i="2"/>
  <c r="B29" i="2"/>
  <c r="B28" i="2"/>
  <c r="B27" i="2"/>
  <c r="B24" i="2"/>
  <c r="B23" i="2"/>
  <c r="B22" i="2"/>
  <c r="O23" i="2"/>
  <c r="A34" i="2"/>
  <c r="A33" i="2"/>
  <c r="A32" i="2"/>
  <c r="A29" i="2"/>
  <c r="A28" i="2"/>
  <c r="A27" i="2"/>
  <c r="A24" i="2"/>
  <c r="A23" i="2"/>
  <c r="A22" i="2"/>
  <c r="AR29" i="2"/>
  <c r="AS29" i="2"/>
  <c r="AT29" i="2"/>
  <c r="AU29" i="2"/>
  <c r="AV29" i="2"/>
  <c r="AW29" i="2"/>
  <c r="AX29" i="2"/>
  <c r="AY29" i="2"/>
  <c r="AP28" i="2"/>
  <c r="AP29" i="2"/>
  <c r="AC12" i="4"/>
  <c r="AD12" i="4" s="1"/>
  <c r="AE12" i="4" s="1"/>
  <c r="AF12" i="4" s="1"/>
  <c r="AG12" i="4" s="1"/>
  <c r="AH12" i="4" s="1"/>
  <c r="AI12" i="4" s="1"/>
  <c r="AJ12" i="4" s="1"/>
  <c r="AK12" i="4" s="1"/>
  <c r="AL12" i="4" s="1"/>
  <c r="AC23" i="4"/>
  <c r="AD23" i="4" s="1"/>
  <c r="AE23" i="4" s="1"/>
  <c r="AF23" i="4" s="1"/>
  <c r="AG23" i="4" s="1"/>
  <c r="AH23" i="4" s="1"/>
  <c r="AI23" i="4" s="1"/>
  <c r="AJ23" i="4" s="1"/>
  <c r="AK23" i="4" s="1"/>
  <c r="AL23" i="4" s="1"/>
  <c r="AR24" i="2"/>
  <c r="AS24" i="2"/>
  <c r="AT24" i="2"/>
  <c r="AU24" i="2"/>
  <c r="AV24" i="2"/>
  <c r="AW24" i="2"/>
  <c r="AX24" i="2"/>
  <c r="AY24" i="2"/>
  <c r="AP23" i="2"/>
  <c r="AP24" i="2"/>
  <c r="AC9" i="4"/>
  <c r="AD9" i="4" s="1"/>
  <c r="AE9" i="4" s="1"/>
  <c r="AF9" i="4" s="1"/>
  <c r="AG9" i="4" s="1"/>
  <c r="AH9" i="4" s="1"/>
  <c r="AI9" i="4" s="1"/>
  <c r="AJ9" i="4" s="1"/>
  <c r="AK9" i="4" s="1"/>
  <c r="AL9" i="4" s="1"/>
  <c r="AC20" i="4"/>
  <c r="AD20" i="4" s="1"/>
  <c r="AE20" i="4" s="1"/>
  <c r="AF20" i="4" s="1"/>
  <c r="AG20" i="4" s="1"/>
  <c r="AH20" i="4" s="1"/>
  <c r="AI20" i="4" s="1"/>
  <c r="AJ20" i="4" s="1"/>
  <c r="AK20" i="4" s="1"/>
  <c r="AL20" i="4" s="1"/>
  <c r="AE29" i="2"/>
  <c r="AF29" i="2"/>
  <c r="AG29" i="2"/>
  <c r="AH29" i="2"/>
  <c r="AI29" i="2"/>
  <c r="AJ29" i="2"/>
  <c r="AK29" i="2"/>
  <c r="AL29" i="2"/>
  <c r="AC28" i="2"/>
  <c r="AC29" i="2"/>
  <c r="P12" i="4"/>
  <c r="P23" i="4"/>
  <c r="Q23" i="4" s="1"/>
  <c r="R23" i="4" s="1"/>
  <c r="S23" i="4" s="1"/>
  <c r="T23" i="4" s="1"/>
  <c r="U23" i="4" s="1"/>
  <c r="V23" i="4" s="1"/>
  <c r="W23" i="4" s="1"/>
  <c r="X23" i="4" s="1"/>
  <c r="Y23" i="4" s="1"/>
  <c r="AE24" i="2"/>
  <c r="AF24" i="2"/>
  <c r="AG24" i="2"/>
  <c r="AH24" i="2"/>
  <c r="AI24" i="2"/>
  <c r="AJ24" i="2"/>
  <c r="AK24" i="2"/>
  <c r="AL24" i="2"/>
  <c r="AC23" i="2"/>
  <c r="AC24" i="2"/>
  <c r="P9" i="4"/>
  <c r="Q9" i="4" s="1"/>
  <c r="R9" i="4" s="1"/>
  <c r="S9" i="4" s="1"/>
  <c r="T9" i="4" s="1"/>
  <c r="U9" i="4" s="1"/>
  <c r="V9" i="4" s="1"/>
  <c r="W9" i="4" s="1"/>
  <c r="X9" i="4" s="1"/>
  <c r="Y9" i="4" s="1"/>
  <c r="P20" i="4"/>
  <c r="Q20" i="4" s="1"/>
  <c r="R20" i="4" s="1"/>
  <c r="S20" i="4" s="1"/>
  <c r="T20" i="4" s="1"/>
  <c r="U20" i="4" s="1"/>
  <c r="V20" i="4" s="1"/>
  <c r="W20" i="4" s="1"/>
  <c r="X20" i="4" s="1"/>
  <c r="Y20" i="4" s="1"/>
  <c r="AP27" i="2"/>
  <c r="AQ27" i="2" s="1"/>
  <c r="AC11" i="4"/>
  <c r="AD11" i="4" s="1"/>
  <c r="AE11" i="4" s="1"/>
  <c r="AF11" i="4" s="1"/>
  <c r="AG11" i="4" s="1"/>
  <c r="AH11" i="4" s="1"/>
  <c r="AI11" i="4" s="1"/>
  <c r="AJ11" i="4" s="1"/>
  <c r="AK11" i="4" s="1"/>
  <c r="AL11" i="4" s="1"/>
  <c r="AC22" i="4"/>
  <c r="AD22" i="4" s="1"/>
  <c r="AE22" i="4" s="1"/>
  <c r="AF22" i="4" s="1"/>
  <c r="AG22" i="4" s="1"/>
  <c r="AH22" i="4" s="1"/>
  <c r="AI22" i="4" s="1"/>
  <c r="AJ22" i="4" s="1"/>
  <c r="AK22" i="4" s="1"/>
  <c r="AL22" i="4" s="1"/>
  <c r="AC27" i="2"/>
  <c r="AD27" i="2" s="1"/>
  <c r="P11" i="4"/>
  <c r="Q11" i="4" s="1"/>
  <c r="R11" i="4" s="1"/>
  <c r="S11" i="4" s="1"/>
  <c r="T11" i="4" s="1"/>
  <c r="U11" i="4" s="1"/>
  <c r="V11" i="4" s="1"/>
  <c r="W11" i="4" s="1"/>
  <c r="X11" i="4" s="1"/>
  <c r="Y11" i="4" s="1"/>
  <c r="P22" i="4"/>
  <c r="Q22" i="4" s="1"/>
  <c r="R22" i="4" s="1"/>
  <c r="S22" i="4" s="1"/>
  <c r="T22" i="4" s="1"/>
  <c r="U22" i="4" s="1"/>
  <c r="V22" i="4" s="1"/>
  <c r="W22" i="4" s="1"/>
  <c r="X22" i="4" s="1"/>
  <c r="AP22" i="2"/>
  <c r="AQ22" i="2" s="1"/>
  <c r="AR22" i="2" s="1"/>
  <c r="AS22" i="2" s="1"/>
  <c r="AT22" i="2" s="1"/>
  <c r="AU22" i="2" s="1"/>
  <c r="AV22" i="2" s="1"/>
  <c r="AW22" i="2" s="1"/>
  <c r="AC8" i="4"/>
  <c r="AD8" i="4" s="1"/>
  <c r="AE8" i="4" s="1"/>
  <c r="AF8" i="4" s="1"/>
  <c r="AG8" i="4" s="1"/>
  <c r="AH8" i="4" s="1"/>
  <c r="AI8" i="4" s="1"/>
  <c r="AJ8" i="4" s="1"/>
  <c r="AK8" i="4" s="1"/>
  <c r="AC19" i="4"/>
  <c r="AD19" i="4" s="1"/>
  <c r="AE19" i="4" s="1"/>
  <c r="AF19" i="4" s="1"/>
  <c r="AG19" i="4" s="1"/>
  <c r="AH19" i="4" s="1"/>
  <c r="AI19" i="4" s="1"/>
  <c r="AJ19" i="4" s="1"/>
  <c r="AK19" i="4" s="1"/>
  <c r="AL19" i="4" s="1"/>
  <c r="AC22" i="2"/>
  <c r="AD22" i="2" s="1"/>
  <c r="AE22" i="2" s="1"/>
  <c r="AF22" i="2" s="1"/>
  <c r="AG22" i="2" s="1"/>
  <c r="AH22" i="2" s="1"/>
  <c r="AI22" i="2" s="1"/>
  <c r="AJ22" i="2" s="1"/>
  <c r="AK22" i="2" s="1"/>
  <c r="P8" i="4"/>
  <c r="Q8" i="4" s="1"/>
  <c r="R8" i="4" s="1"/>
  <c r="S8" i="4" s="1"/>
  <c r="T8" i="4" s="1"/>
  <c r="U8" i="4" s="1"/>
  <c r="V8" i="4" s="1"/>
  <c r="W8" i="4" s="1"/>
  <c r="X8" i="4" s="1"/>
  <c r="Y8" i="4" s="1"/>
  <c r="P19" i="4"/>
  <c r="Q19" i="4" s="1"/>
  <c r="R19" i="4" s="1"/>
  <c r="S19" i="4" s="1"/>
  <c r="T19" i="4" s="1"/>
  <c r="U19" i="4" s="1"/>
  <c r="V19" i="4" s="1"/>
  <c r="W19" i="4" s="1"/>
  <c r="X19" i="4" s="1"/>
  <c r="Y19" i="4" s="1"/>
  <c r="AN34" i="2"/>
  <c r="AN33" i="2"/>
  <c r="AN32" i="2"/>
  <c r="AN29" i="2"/>
  <c r="AN28" i="2"/>
  <c r="AN27" i="2"/>
  <c r="AN24" i="2"/>
  <c r="AN23" i="2"/>
  <c r="AN22" i="2"/>
  <c r="AA34" i="2"/>
  <c r="AA33" i="2"/>
  <c r="AA32" i="2"/>
  <c r="AA29" i="2"/>
  <c r="AA28" i="2"/>
  <c r="AA27" i="2"/>
  <c r="AA24" i="2"/>
  <c r="AA23" i="2"/>
  <c r="AA22" i="2"/>
  <c r="N34" i="2"/>
  <c r="N33" i="2"/>
  <c r="N32" i="2"/>
  <c r="N29" i="2"/>
  <c r="N28" i="2"/>
  <c r="N27" i="2"/>
  <c r="N24" i="2"/>
  <c r="N23" i="2"/>
  <c r="N22" i="2"/>
  <c r="O24" i="2"/>
  <c r="O22" i="2"/>
  <c r="C46" i="12"/>
  <c r="C43" i="12"/>
  <c r="Q72" i="12"/>
  <c r="P72" i="12"/>
  <c r="Q71" i="12"/>
  <c r="P71" i="12"/>
  <c r="Q70" i="12"/>
  <c r="P70" i="12"/>
  <c r="Q69" i="12"/>
  <c r="P69" i="12"/>
  <c r="Q68" i="12"/>
  <c r="P68" i="12"/>
  <c r="Q67" i="12"/>
  <c r="P67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B72" i="12"/>
  <c r="A72" i="12"/>
  <c r="B71" i="12"/>
  <c r="A71" i="12"/>
  <c r="B70" i="12"/>
  <c r="A70" i="12"/>
  <c r="B69" i="12"/>
  <c r="A69" i="12"/>
  <c r="B68" i="12"/>
  <c r="A68" i="12"/>
  <c r="B67" i="12"/>
  <c r="A67" i="12"/>
  <c r="L60" i="12"/>
  <c r="K60" i="12"/>
  <c r="L59" i="12"/>
  <c r="K59" i="12"/>
  <c r="L58" i="12"/>
  <c r="K58" i="12"/>
  <c r="L57" i="12"/>
  <c r="K57" i="12"/>
  <c r="L56" i="12"/>
  <c r="K56" i="12"/>
  <c r="L55" i="12"/>
  <c r="K55" i="12"/>
  <c r="B60" i="12"/>
  <c r="A60" i="12"/>
  <c r="B59" i="12"/>
  <c r="A59" i="12"/>
  <c r="B58" i="12"/>
  <c r="A58" i="12"/>
  <c r="B57" i="12"/>
  <c r="A57" i="12"/>
  <c r="B56" i="12"/>
  <c r="A56" i="12"/>
  <c r="B55" i="12"/>
  <c r="A55" i="12"/>
  <c r="A43" i="12"/>
  <c r="B43" i="12"/>
  <c r="A44" i="12"/>
  <c r="B44" i="12"/>
  <c r="A45" i="12"/>
  <c r="B45" i="12"/>
  <c r="A46" i="12"/>
  <c r="B46" i="12"/>
  <c r="A47" i="12"/>
  <c r="B47" i="12"/>
  <c r="A48" i="12"/>
  <c r="B48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C48" i="12"/>
  <c r="C45" i="12"/>
  <c r="C47" i="12"/>
  <c r="C44" i="12"/>
  <c r="B36" i="12"/>
  <c r="A36" i="12"/>
  <c r="B33" i="12"/>
  <c r="A33" i="12"/>
  <c r="B35" i="12"/>
  <c r="A35" i="12"/>
  <c r="A34" i="12"/>
  <c r="B32" i="12"/>
  <c r="A32" i="12"/>
  <c r="A31" i="12"/>
  <c r="B34" i="12"/>
  <c r="B31" i="12"/>
  <c r="O19" i="11"/>
  <c r="P19" i="11" s="1"/>
  <c r="Q19" i="11" s="1"/>
  <c r="R19" i="11" s="1"/>
  <c r="S19" i="11" s="1"/>
  <c r="T19" i="11" s="1"/>
  <c r="U19" i="11" s="1"/>
  <c r="V19" i="11" s="1"/>
  <c r="W19" i="11" s="1"/>
  <c r="C88" i="11"/>
  <c r="D88" i="11" s="1"/>
  <c r="E88" i="11" s="1"/>
  <c r="F88" i="11" s="1"/>
  <c r="G88" i="11" s="1"/>
  <c r="H88" i="11" s="1"/>
  <c r="I88" i="11" s="1"/>
  <c r="J88" i="11" s="1"/>
  <c r="K88" i="11" s="1"/>
  <c r="L88" i="11" s="1"/>
  <c r="C81" i="11"/>
  <c r="D81" i="11" s="1"/>
  <c r="E81" i="11" s="1"/>
  <c r="F81" i="11" s="1"/>
  <c r="G81" i="11" s="1"/>
  <c r="H81" i="11" s="1"/>
  <c r="I81" i="11" s="1"/>
  <c r="J81" i="11" s="1"/>
  <c r="K81" i="11" s="1"/>
  <c r="L81" i="11" s="1"/>
  <c r="C74" i="11"/>
  <c r="D74" i="11" s="1"/>
  <c r="E74" i="11" s="1"/>
  <c r="F74" i="11" s="1"/>
  <c r="G74" i="11" s="1"/>
  <c r="H74" i="11" s="1"/>
  <c r="I74" i="11" s="1"/>
  <c r="J74" i="11" s="1"/>
  <c r="K74" i="11" s="1"/>
  <c r="L74" i="11" s="1"/>
  <c r="C67" i="11"/>
  <c r="D67" i="11" s="1"/>
  <c r="E67" i="11" s="1"/>
  <c r="F67" i="11" s="1"/>
  <c r="G67" i="11" s="1"/>
  <c r="H67" i="11" s="1"/>
  <c r="I67" i="11" s="1"/>
  <c r="J67" i="11" s="1"/>
  <c r="K67" i="11" s="1"/>
  <c r="L67" i="11" s="1"/>
  <c r="O88" i="11"/>
  <c r="P88" i="11" s="1"/>
  <c r="Q88" i="11" s="1"/>
  <c r="R88" i="11" s="1"/>
  <c r="S88" i="11" s="1"/>
  <c r="T88" i="11" s="1"/>
  <c r="U88" i="11" s="1"/>
  <c r="V88" i="11" s="1"/>
  <c r="W88" i="11" s="1"/>
  <c r="O81" i="11"/>
  <c r="P81" i="11" s="1"/>
  <c r="Q81" i="11" s="1"/>
  <c r="R81" i="11" s="1"/>
  <c r="S81" i="11" s="1"/>
  <c r="T81" i="11" s="1"/>
  <c r="U81" i="11" s="1"/>
  <c r="V81" i="11" s="1"/>
  <c r="W81" i="11" s="1"/>
  <c r="O74" i="11"/>
  <c r="P74" i="11" s="1"/>
  <c r="Q74" i="11" s="1"/>
  <c r="R74" i="11" s="1"/>
  <c r="S74" i="11" s="1"/>
  <c r="T74" i="11" s="1"/>
  <c r="U74" i="11" s="1"/>
  <c r="V74" i="11" s="1"/>
  <c r="W74" i="11" s="1"/>
  <c r="O67" i="11"/>
  <c r="P67" i="11" s="1"/>
  <c r="Q67" i="11" s="1"/>
  <c r="R67" i="11" s="1"/>
  <c r="S67" i="11" s="1"/>
  <c r="T67" i="11" s="1"/>
  <c r="U67" i="11" s="1"/>
  <c r="V67" i="11" s="1"/>
  <c r="W67" i="11" s="1"/>
  <c r="O12" i="11"/>
  <c r="P12" i="11" s="1"/>
  <c r="Q12" i="11" s="1"/>
  <c r="R12" i="11" s="1"/>
  <c r="S12" i="11" s="1"/>
  <c r="T12" i="11" s="1"/>
  <c r="U12" i="11" s="1"/>
  <c r="V12" i="11" s="1"/>
  <c r="W12" i="11" s="1"/>
  <c r="O29" i="11"/>
  <c r="P29" i="11" s="1"/>
  <c r="Q29" i="11" s="1"/>
  <c r="R29" i="11" s="1"/>
  <c r="S29" i="11" s="1"/>
  <c r="T29" i="11" s="1"/>
  <c r="U29" i="11" s="1"/>
  <c r="V29" i="11" s="1"/>
  <c r="W29" i="11" s="1"/>
  <c r="O3" i="11"/>
  <c r="P3" i="11" s="1"/>
  <c r="Q3" i="11" s="1"/>
  <c r="R3" i="11" s="1"/>
  <c r="S3" i="11" s="1"/>
  <c r="T3" i="11" s="1"/>
  <c r="U3" i="11" s="1"/>
  <c r="V3" i="11" s="1"/>
  <c r="W3" i="11" s="1"/>
  <c r="B31" i="8"/>
  <c r="C31" i="8" s="1"/>
  <c r="D31" i="8" s="1"/>
  <c r="E31" i="8" s="1"/>
  <c r="F31" i="8" s="1"/>
  <c r="G31" i="8" s="1"/>
  <c r="H31" i="8" s="1"/>
  <c r="I31" i="8" s="1"/>
  <c r="J31" i="8" s="1"/>
  <c r="C16" i="8"/>
  <c r="D16" i="8" s="1"/>
  <c r="E16" i="8" s="1"/>
  <c r="F16" i="8" s="1"/>
  <c r="G16" i="8" s="1"/>
  <c r="H16" i="8" s="1"/>
  <c r="I16" i="8" s="1"/>
  <c r="J16" i="8" s="1"/>
  <c r="K16" i="8" s="1"/>
  <c r="C7" i="8"/>
  <c r="D7" i="8" s="1"/>
  <c r="E7" i="8" s="1"/>
  <c r="F7" i="8" s="1"/>
  <c r="G7" i="8" s="1"/>
  <c r="H7" i="8" s="1"/>
  <c r="I7" i="8" s="1"/>
  <c r="J7" i="8" s="1"/>
  <c r="K7" i="8" s="1"/>
  <c r="D28" i="13"/>
  <c r="E28" i="13" s="1"/>
  <c r="F28" i="13" s="1"/>
  <c r="G28" i="13" s="1"/>
  <c r="H28" i="13" s="1"/>
  <c r="I28" i="13" s="1"/>
  <c r="J28" i="13" s="1"/>
  <c r="K28" i="13" s="1"/>
  <c r="L28" i="13" s="1"/>
  <c r="D7" i="13"/>
  <c r="E7" i="13" s="1"/>
  <c r="F7" i="13" s="1"/>
  <c r="G7" i="13" s="1"/>
  <c r="H7" i="13" s="1"/>
  <c r="I7" i="13" s="1"/>
  <c r="J7" i="13" s="1"/>
  <c r="K7" i="13" s="1"/>
  <c r="L7" i="13" s="1"/>
  <c r="C54" i="10"/>
  <c r="D54" i="10" s="1"/>
  <c r="E54" i="10" s="1"/>
  <c r="F54" i="10" s="1"/>
  <c r="G54" i="10" s="1"/>
  <c r="H54" i="10" s="1"/>
  <c r="I54" i="10" s="1"/>
  <c r="J54" i="10" s="1"/>
  <c r="K54" i="10" s="1"/>
  <c r="C23" i="10"/>
  <c r="D23" i="10" s="1"/>
  <c r="E23" i="10" s="1"/>
  <c r="F23" i="10" s="1"/>
  <c r="G23" i="10" s="1"/>
  <c r="H23" i="10" s="1"/>
  <c r="I23" i="10" s="1"/>
  <c r="J23" i="10" s="1"/>
  <c r="K23" i="10" s="1"/>
  <c r="E7" i="10"/>
  <c r="F7" i="10" s="1"/>
  <c r="G7" i="10" s="1"/>
  <c r="H7" i="10" s="1"/>
  <c r="I7" i="10" s="1"/>
  <c r="J7" i="10" s="1"/>
  <c r="K7" i="10" s="1"/>
  <c r="L7" i="10" s="1"/>
  <c r="M7" i="10" s="1"/>
  <c r="N7" i="10" s="1"/>
  <c r="C171" i="7"/>
  <c r="D171" i="7" s="1"/>
  <c r="E171" i="7" s="1"/>
  <c r="F171" i="7" s="1"/>
  <c r="G171" i="7" s="1"/>
  <c r="H171" i="7" s="1"/>
  <c r="I171" i="7" s="1"/>
  <c r="J171" i="7" s="1"/>
  <c r="K171" i="7" s="1"/>
  <c r="L171" i="7" s="1"/>
  <c r="C155" i="7"/>
  <c r="D155" i="7" s="1"/>
  <c r="E155" i="7" s="1"/>
  <c r="F155" i="7" s="1"/>
  <c r="G155" i="7" s="1"/>
  <c r="H155" i="7" s="1"/>
  <c r="I155" i="7" s="1"/>
  <c r="J155" i="7" s="1"/>
  <c r="K155" i="7" s="1"/>
  <c r="L155" i="7" s="1"/>
  <c r="C139" i="7"/>
  <c r="D139" i="7" s="1"/>
  <c r="E139" i="7" s="1"/>
  <c r="F139" i="7" s="1"/>
  <c r="G139" i="7" s="1"/>
  <c r="H139" i="7" s="1"/>
  <c r="I139" i="7" s="1"/>
  <c r="J139" i="7" s="1"/>
  <c r="K139" i="7" s="1"/>
  <c r="L139" i="7" s="1"/>
  <c r="C123" i="7"/>
  <c r="D123" i="7" s="1"/>
  <c r="E123" i="7" s="1"/>
  <c r="F123" i="7" s="1"/>
  <c r="G123" i="7" s="1"/>
  <c r="H123" i="7" s="1"/>
  <c r="I123" i="7" s="1"/>
  <c r="J123" i="7" s="1"/>
  <c r="K123" i="7" s="1"/>
  <c r="L123" i="7" s="1"/>
  <c r="C107" i="7"/>
  <c r="D107" i="7" s="1"/>
  <c r="E107" i="7" s="1"/>
  <c r="F107" i="7" s="1"/>
  <c r="G107" i="7" s="1"/>
  <c r="H107" i="7" s="1"/>
  <c r="I107" i="7" s="1"/>
  <c r="J107" i="7" s="1"/>
  <c r="K107" i="7" s="1"/>
  <c r="L107" i="7" s="1"/>
  <c r="C91" i="7"/>
  <c r="D91" i="7" s="1"/>
  <c r="E91" i="7" s="1"/>
  <c r="F91" i="7" s="1"/>
  <c r="G91" i="7" s="1"/>
  <c r="H91" i="7" s="1"/>
  <c r="I91" i="7" s="1"/>
  <c r="J91" i="7" s="1"/>
  <c r="K91" i="7" s="1"/>
  <c r="L91" i="7" s="1"/>
  <c r="C75" i="7"/>
  <c r="D75" i="7" s="1"/>
  <c r="E75" i="7" s="1"/>
  <c r="F75" i="7" s="1"/>
  <c r="G75" i="7" s="1"/>
  <c r="H75" i="7" s="1"/>
  <c r="I75" i="7" s="1"/>
  <c r="J75" i="7" s="1"/>
  <c r="K75" i="7" s="1"/>
  <c r="L75" i="7" s="1"/>
  <c r="C59" i="7"/>
  <c r="D59" i="7" s="1"/>
  <c r="E59" i="7" s="1"/>
  <c r="F59" i="7" s="1"/>
  <c r="G59" i="7" s="1"/>
  <c r="H59" i="7" s="1"/>
  <c r="I59" i="7" s="1"/>
  <c r="J59" i="7" s="1"/>
  <c r="K59" i="7" s="1"/>
  <c r="L59" i="7" s="1"/>
  <c r="C43" i="7"/>
  <c r="D43" i="7" s="1"/>
  <c r="E43" i="7" s="1"/>
  <c r="F43" i="7" s="1"/>
  <c r="G43" i="7" s="1"/>
  <c r="H43" i="7" s="1"/>
  <c r="I43" i="7" s="1"/>
  <c r="J43" i="7" s="1"/>
  <c r="K43" i="7" s="1"/>
  <c r="L43" i="7" s="1"/>
  <c r="C24" i="7"/>
  <c r="D24" i="7" s="1"/>
  <c r="E24" i="7" s="1"/>
  <c r="F24" i="7" s="1"/>
  <c r="G24" i="7" s="1"/>
  <c r="H24" i="7" s="1"/>
  <c r="I24" i="7" s="1"/>
  <c r="J24" i="7" s="1"/>
  <c r="K24" i="7" s="1"/>
  <c r="L24" i="7" s="1"/>
  <c r="C17" i="7"/>
  <c r="D17" i="7" s="1"/>
  <c r="E17" i="7" s="1"/>
  <c r="F17" i="7" s="1"/>
  <c r="G17" i="7" s="1"/>
  <c r="H17" i="7" s="1"/>
  <c r="I17" i="7" s="1"/>
  <c r="J17" i="7" s="1"/>
  <c r="K17" i="7" s="1"/>
  <c r="L17" i="7" s="1"/>
  <c r="C12" i="7"/>
  <c r="D12" i="7" s="1"/>
  <c r="E12" i="7" s="1"/>
  <c r="F12" i="7" s="1"/>
  <c r="G12" i="7" s="1"/>
  <c r="H12" i="7" s="1"/>
  <c r="I12" i="7" s="1"/>
  <c r="J12" i="7" s="1"/>
  <c r="K12" i="7" s="1"/>
  <c r="L12" i="7" s="1"/>
  <c r="C7" i="7"/>
  <c r="D7" i="7" s="1"/>
  <c r="E7" i="7" s="1"/>
  <c r="F7" i="7" s="1"/>
  <c r="G7" i="7" s="1"/>
  <c r="H7" i="7" s="1"/>
  <c r="I7" i="7" s="1"/>
  <c r="J7" i="7" s="1"/>
  <c r="K7" i="7" s="1"/>
  <c r="L7" i="7" s="1"/>
  <c r="C104" i="6"/>
  <c r="D104" i="6" s="1"/>
  <c r="E104" i="6" s="1"/>
  <c r="F104" i="6" s="1"/>
  <c r="G104" i="6" s="1"/>
  <c r="H104" i="6" s="1"/>
  <c r="I104" i="6" s="1"/>
  <c r="J104" i="6" s="1"/>
  <c r="K104" i="6" s="1"/>
  <c r="L104" i="6" s="1"/>
  <c r="C88" i="6"/>
  <c r="D88" i="6" s="1"/>
  <c r="E88" i="6" s="1"/>
  <c r="F88" i="6" s="1"/>
  <c r="G88" i="6" s="1"/>
  <c r="H88" i="6" s="1"/>
  <c r="I88" i="6" s="1"/>
  <c r="J88" i="6" s="1"/>
  <c r="K88" i="6" s="1"/>
  <c r="L88" i="6" s="1"/>
  <c r="C72" i="6"/>
  <c r="D72" i="6" s="1"/>
  <c r="E72" i="6" s="1"/>
  <c r="F72" i="6" s="1"/>
  <c r="G72" i="6" s="1"/>
  <c r="H72" i="6" s="1"/>
  <c r="I72" i="6" s="1"/>
  <c r="J72" i="6" s="1"/>
  <c r="K72" i="6" s="1"/>
  <c r="L72" i="6" s="1"/>
  <c r="C56" i="6"/>
  <c r="D56" i="6" s="1"/>
  <c r="E56" i="6" s="1"/>
  <c r="F56" i="6" s="1"/>
  <c r="G56" i="6" s="1"/>
  <c r="H56" i="6" s="1"/>
  <c r="I56" i="6" s="1"/>
  <c r="J56" i="6" s="1"/>
  <c r="K56" i="6" s="1"/>
  <c r="L56" i="6" s="1"/>
  <c r="C40" i="6"/>
  <c r="D40" i="6" s="1"/>
  <c r="E40" i="6" s="1"/>
  <c r="F40" i="6" s="1"/>
  <c r="G40" i="6" s="1"/>
  <c r="H40" i="6" s="1"/>
  <c r="I40" i="6" s="1"/>
  <c r="J40" i="6" s="1"/>
  <c r="K40" i="6" s="1"/>
  <c r="L40" i="6" s="1"/>
  <c r="C24" i="6"/>
  <c r="D24" i="6" s="1"/>
  <c r="E24" i="6" s="1"/>
  <c r="F24" i="6" s="1"/>
  <c r="G24" i="6" s="1"/>
  <c r="H24" i="6" s="1"/>
  <c r="I24" i="6" s="1"/>
  <c r="J24" i="6" s="1"/>
  <c r="K24" i="6" s="1"/>
  <c r="L24" i="6" s="1"/>
  <c r="C17" i="6"/>
  <c r="D17" i="6" s="1"/>
  <c r="E17" i="6" s="1"/>
  <c r="F17" i="6" s="1"/>
  <c r="G17" i="6" s="1"/>
  <c r="H17" i="6" s="1"/>
  <c r="I17" i="6" s="1"/>
  <c r="J17" i="6" s="1"/>
  <c r="K17" i="6" s="1"/>
  <c r="L17" i="6" s="1"/>
  <c r="C12" i="6"/>
  <c r="D12" i="6" s="1"/>
  <c r="E12" i="6" s="1"/>
  <c r="F12" i="6" s="1"/>
  <c r="G12" i="6" s="1"/>
  <c r="H12" i="6" s="1"/>
  <c r="I12" i="6" s="1"/>
  <c r="J12" i="6" s="1"/>
  <c r="K12" i="6" s="1"/>
  <c r="L12" i="6" s="1"/>
  <c r="C7" i="6"/>
  <c r="D7" i="6" s="1"/>
  <c r="E7" i="6" s="1"/>
  <c r="F7" i="6" s="1"/>
  <c r="G7" i="6" s="1"/>
  <c r="H7" i="6" s="1"/>
  <c r="I7" i="6" s="1"/>
  <c r="J7" i="6" s="1"/>
  <c r="K7" i="6" s="1"/>
  <c r="L7" i="6" s="1"/>
  <c r="AP38" i="2"/>
  <c r="AQ38" i="2" s="1"/>
  <c r="AR38" i="2" s="1"/>
  <c r="AS38" i="2" s="1"/>
  <c r="AT38" i="2" s="1"/>
  <c r="AU38" i="2" s="1"/>
  <c r="AV38" i="2" s="1"/>
  <c r="AW38" i="2" s="1"/>
  <c r="AX38" i="2" s="1"/>
  <c r="AY38" i="2" s="1"/>
  <c r="AC38" i="2"/>
  <c r="AD38" i="2" s="1"/>
  <c r="AE38" i="2" s="1"/>
  <c r="AF38" i="2" s="1"/>
  <c r="AG38" i="2" s="1"/>
  <c r="AH38" i="2" s="1"/>
  <c r="AI38" i="2" s="1"/>
  <c r="AJ38" i="2" s="1"/>
  <c r="AK38" i="2" s="1"/>
  <c r="AL38" i="2" s="1"/>
  <c r="P38" i="2"/>
  <c r="Q38" i="2" s="1"/>
  <c r="R38" i="2" s="1"/>
  <c r="S38" i="2" s="1"/>
  <c r="T38" i="2" s="1"/>
  <c r="U38" i="2" s="1"/>
  <c r="V38" i="2" s="1"/>
  <c r="W38" i="2" s="1"/>
  <c r="X38" i="2" s="1"/>
  <c r="Y38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C38" i="2"/>
  <c r="D38" i="2" s="1"/>
  <c r="E38" i="2" s="1"/>
  <c r="F38" i="2" s="1"/>
  <c r="G38" i="2" s="1"/>
  <c r="H38" i="2" s="1"/>
  <c r="I38" i="2" s="1"/>
  <c r="J38" i="2" s="1"/>
  <c r="K38" i="2" s="1"/>
  <c r="L38" i="2" s="1"/>
  <c r="AP31" i="2"/>
  <c r="AQ31" i="2" s="1"/>
  <c r="AR31" i="2" s="1"/>
  <c r="AS31" i="2" s="1"/>
  <c r="AT31" i="2" s="1"/>
  <c r="AU31" i="2" s="1"/>
  <c r="AV31" i="2" s="1"/>
  <c r="AW31" i="2" s="1"/>
  <c r="AX31" i="2" s="1"/>
  <c r="AY31" i="2" s="1"/>
  <c r="AP26" i="2"/>
  <c r="AQ26" i="2" s="1"/>
  <c r="AR26" i="2" s="1"/>
  <c r="AS26" i="2" s="1"/>
  <c r="AT26" i="2" s="1"/>
  <c r="AU26" i="2" s="1"/>
  <c r="AV26" i="2" s="1"/>
  <c r="AW26" i="2" s="1"/>
  <c r="AX26" i="2" s="1"/>
  <c r="AY26" i="2" s="1"/>
  <c r="AP21" i="2"/>
  <c r="AQ21" i="2" s="1"/>
  <c r="AR21" i="2" s="1"/>
  <c r="AS21" i="2" s="1"/>
  <c r="AT21" i="2" s="1"/>
  <c r="AU21" i="2" s="1"/>
  <c r="AV21" i="2" s="1"/>
  <c r="AW21" i="2" s="1"/>
  <c r="AX21" i="2" s="1"/>
  <c r="AY21" i="2" s="1"/>
  <c r="AC31" i="2"/>
  <c r="AD31" i="2" s="1"/>
  <c r="AE31" i="2" s="1"/>
  <c r="AF31" i="2" s="1"/>
  <c r="AG31" i="2" s="1"/>
  <c r="AH31" i="2" s="1"/>
  <c r="AI31" i="2" s="1"/>
  <c r="AJ31" i="2" s="1"/>
  <c r="AK31" i="2" s="1"/>
  <c r="AL31" i="2" s="1"/>
  <c r="AC26" i="2"/>
  <c r="AD26" i="2" s="1"/>
  <c r="AE26" i="2" s="1"/>
  <c r="AF26" i="2" s="1"/>
  <c r="AG26" i="2" s="1"/>
  <c r="AH26" i="2" s="1"/>
  <c r="AI26" i="2" s="1"/>
  <c r="AJ26" i="2" s="1"/>
  <c r="AK26" i="2" s="1"/>
  <c r="AL26" i="2" s="1"/>
  <c r="AC21" i="2"/>
  <c r="AD21" i="2" s="1"/>
  <c r="AE21" i="2" s="1"/>
  <c r="AF21" i="2" s="1"/>
  <c r="AG21" i="2" s="1"/>
  <c r="AH21" i="2" s="1"/>
  <c r="AI21" i="2" s="1"/>
  <c r="AJ21" i="2" s="1"/>
  <c r="AK21" i="2" s="1"/>
  <c r="AL21" i="2" s="1"/>
  <c r="P31" i="2"/>
  <c r="Q31" i="2" s="1"/>
  <c r="R31" i="2" s="1"/>
  <c r="S31" i="2" s="1"/>
  <c r="T31" i="2" s="1"/>
  <c r="U31" i="2" s="1"/>
  <c r="V31" i="2" s="1"/>
  <c r="W31" i="2" s="1"/>
  <c r="X31" i="2" s="1"/>
  <c r="Y31" i="2" s="1"/>
  <c r="P26" i="2"/>
  <c r="Q26" i="2" s="1"/>
  <c r="R26" i="2" s="1"/>
  <c r="S26" i="2" s="1"/>
  <c r="T26" i="2" s="1"/>
  <c r="U26" i="2" s="1"/>
  <c r="V26" i="2" s="1"/>
  <c r="W26" i="2" s="1"/>
  <c r="X26" i="2" s="1"/>
  <c r="Y26" i="2" s="1"/>
  <c r="P21" i="2"/>
  <c r="Q21" i="2" s="1"/>
  <c r="R21" i="2" s="1"/>
  <c r="S21" i="2" s="1"/>
  <c r="T21" i="2" s="1"/>
  <c r="U21" i="2" s="1"/>
  <c r="V21" i="2" s="1"/>
  <c r="W21" i="2" s="1"/>
  <c r="X21" i="2" s="1"/>
  <c r="Y21" i="2" s="1"/>
  <c r="C31" i="2"/>
  <c r="D31" i="2" s="1"/>
  <c r="E31" i="2" s="1"/>
  <c r="F31" i="2" s="1"/>
  <c r="G31" i="2" s="1"/>
  <c r="H31" i="2" s="1"/>
  <c r="I31" i="2" s="1"/>
  <c r="J31" i="2" s="1"/>
  <c r="K31" i="2" s="1"/>
  <c r="L31" i="2" s="1"/>
  <c r="C26" i="2"/>
  <c r="D26" i="2" s="1"/>
  <c r="E26" i="2" s="1"/>
  <c r="F26" i="2" s="1"/>
  <c r="G26" i="2" s="1"/>
  <c r="H26" i="2" s="1"/>
  <c r="I26" i="2" s="1"/>
  <c r="J26" i="2" s="1"/>
  <c r="K26" i="2" s="1"/>
  <c r="L26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AP7" i="2"/>
  <c r="AQ7" i="2" s="1"/>
  <c r="AR7" i="2" s="1"/>
  <c r="AS7" i="2" s="1"/>
  <c r="AT7" i="2" s="1"/>
  <c r="AU7" i="2" s="1"/>
  <c r="AV7" i="2" s="1"/>
  <c r="AW7" i="2" s="1"/>
  <c r="AX7" i="2" s="1"/>
  <c r="AY7" i="2" s="1"/>
  <c r="AC7" i="2"/>
  <c r="AD7" i="2" s="1"/>
  <c r="AE7" i="2" s="1"/>
  <c r="AF7" i="2" s="1"/>
  <c r="AG7" i="2" s="1"/>
  <c r="AH7" i="2" s="1"/>
  <c r="AI7" i="2" s="1"/>
  <c r="AJ7" i="2" s="1"/>
  <c r="AK7" i="2" s="1"/>
  <c r="AL7" i="2" s="1"/>
  <c r="P7" i="2"/>
  <c r="Q7" i="2" s="1"/>
  <c r="R7" i="2" s="1"/>
  <c r="S7" i="2" s="1"/>
  <c r="T7" i="2" s="1"/>
  <c r="U7" i="2" s="1"/>
  <c r="V7" i="2" s="1"/>
  <c r="W7" i="2" s="1"/>
  <c r="X7" i="2" s="1"/>
  <c r="Y7" i="2" s="1"/>
  <c r="C7" i="2"/>
  <c r="D7" i="2" s="1"/>
  <c r="E7" i="2" s="1"/>
  <c r="F7" i="2" s="1"/>
  <c r="G7" i="2" s="1"/>
  <c r="H7" i="2" s="1"/>
  <c r="I7" i="2" s="1"/>
  <c r="J7" i="2" s="1"/>
  <c r="K7" i="2" s="1"/>
  <c r="L7" i="2" s="1"/>
  <c r="AC17" i="4"/>
  <c r="AD17" i="4" s="1"/>
  <c r="AE17" i="4" s="1"/>
  <c r="AF17" i="4" s="1"/>
  <c r="AG17" i="4" s="1"/>
  <c r="AH17" i="4" s="1"/>
  <c r="AI17" i="4" s="1"/>
  <c r="AJ17" i="4" s="1"/>
  <c r="AK17" i="4" s="1"/>
  <c r="AL17" i="4" s="1"/>
  <c r="AC7" i="4"/>
  <c r="AD7" i="4" s="1"/>
  <c r="AE7" i="4" s="1"/>
  <c r="AF7" i="4" s="1"/>
  <c r="AG7" i="4" s="1"/>
  <c r="AH7" i="4" s="1"/>
  <c r="AI7" i="4" s="1"/>
  <c r="AJ7" i="4" s="1"/>
  <c r="AK7" i="4" s="1"/>
  <c r="AL7" i="4" s="1"/>
  <c r="P17" i="4"/>
  <c r="Q17" i="4" s="1"/>
  <c r="R17" i="4" s="1"/>
  <c r="S17" i="4" s="1"/>
  <c r="T17" i="4" s="1"/>
  <c r="U17" i="4" s="1"/>
  <c r="V17" i="4" s="1"/>
  <c r="W17" i="4" s="1"/>
  <c r="X17" i="4" s="1"/>
  <c r="Y17" i="4" s="1"/>
  <c r="P7" i="4"/>
  <c r="Q7" i="4" s="1"/>
  <c r="R7" i="4" s="1"/>
  <c r="S7" i="4" s="1"/>
  <c r="T7" i="4" s="1"/>
  <c r="U7" i="4" s="1"/>
  <c r="V7" i="4" s="1"/>
  <c r="W7" i="4" s="1"/>
  <c r="X7" i="4" s="1"/>
  <c r="Y7" i="4" s="1"/>
  <c r="C17" i="4"/>
  <c r="D17" i="4" s="1"/>
  <c r="E17" i="4" s="1"/>
  <c r="F17" i="4" s="1"/>
  <c r="G17" i="4" s="1"/>
  <c r="H17" i="4" s="1"/>
  <c r="I17" i="4" s="1"/>
  <c r="J17" i="4" s="1"/>
  <c r="K17" i="4" s="1"/>
  <c r="L17" i="4" s="1"/>
  <c r="C7" i="4"/>
  <c r="D7" i="4" s="1"/>
  <c r="E7" i="4" s="1"/>
  <c r="F7" i="4" s="1"/>
  <c r="G7" i="4" s="1"/>
  <c r="H7" i="4" s="1"/>
  <c r="I7" i="4" s="1"/>
  <c r="J7" i="4" s="1"/>
  <c r="K7" i="4" s="1"/>
  <c r="L7" i="4" s="1"/>
  <c r="B23" i="1"/>
  <c r="C23" i="1" s="1"/>
  <c r="D23" i="1" s="1"/>
  <c r="E23" i="1" s="1"/>
  <c r="F23" i="1" s="1"/>
  <c r="G23" i="1" s="1"/>
  <c r="H23" i="1" s="1"/>
  <c r="I23" i="1" s="1"/>
  <c r="J23" i="1" s="1"/>
  <c r="K23" i="1" s="1"/>
  <c r="B15" i="1"/>
  <c r="C15" i="1" s="1"/>
  <c r="D15" i="1" s="1"/>
  <c r="E15" i="1" s="1"/>
  <c r="F15" i="1" s="1"/>
  <c r="G15" i="1" s="1"/>
  <c r="H15" i="1" s="1"/>
  <c r="I15" i="1" s="1"/>
  <c r="J15" i="1" s="1"/>
  <c r="K15" i="1" s="1"/>
  <c r="B7" i="1"/>
  <c r="C7" i="1" s="1"/>
  <c r="D7" i="1" s="1"/>
  <c r="E7" i="1" s="1"/>
  <c r="F7" i="1" s="1"/>
  <c r="G7" i="1" s="1"/>
  <c r="H7" i="1" s="1"/>
  <c r="I7" i="1" s="1"/>
  <c r="J7" i="1" s="1"/>
  <c r="K7" i="1" s="1"/>
  <c r="C93" i="7"/>
  <c r="E93" i="7" s="1"/>
  <c r="E9" i="10"/>
  <c r="F9" i="10" s="1"/>
  <c r="G9" i="10" s="1"/>
  <c r="C92" i="7"/>
  <c r="G92" i="7" s="1"/>
  <c r="D61" i="10"/>
  <c r="D57" i="10"/>
  <c r="F92" i="7"/>
  <c r="F32" i="13"/>
  <c r="G32" i="13" s="1"/>
  <c r="F31" i="13"/>
  <c r="E57" i="10" s="1"/>
  <c r="H93" i="7"/>
  <c r="I93" i="7"/>
  <c r="I92" i="7"/>
  <c r="J93" i="7"/>
  <c r="J92" i="7"/>
  <c r="K93" i="7"/>
  <c r="K92" i="7"/>
  <c r="L93" i="7"/>
  <c r="L92" i="7"/>
  <c r="C58" i="10"/>
  <c r="A31" i="13"/>
  <c r="A32" i="13"/>
  <c r="A36" i="13"/>
  <c r="A37" i="13"/>
  <c r="A38" i="13"/>
  <c r="A39" i="13"/>
  <c r="A57" i="10"/>
  <c r="A58" i="10"/>
  <c r="A62" i="10"/>
  <c r="A63" i="10"/>
  <c r="A64" i="10"/>
  <c r="A65" i="10"/>
  <c r="D38" i="13"/>
  <c r="E38" i="13" s="1"/>
  <c r="D64" i="10" s="1"/>
  <c r="D39" i="13"/>
  <c r="C65" i="10" s="1"/>
  <c r="L27" i="13"/>
  <c r="V1" i="11"/>
  <c r="B18" i="12"/>
  <c r="E12" i="10"/>
  <c r="E14" i="10"/>
  <c r="N5" i="10"/>
  <c r="C83" i="12"/>
  <c r="C177" i="7" s="1"/>
  <c r="C86" i="12"/>
  <c r="C180" i="7" s="1"/>
  <c r="C80" i="12"/>
  <c r="C174" i="7" s="1"/>
  <c r="C125" i="7"/>
  <c r="C126" i="7"/>
  <c r="C127" i="7"/>
  <c r="C128" i="7"/>
  <c r="C129" i="7"/>
  <c r="C124" i="7"/>
  <c r="R65" i="12"/>
  <c r="C94" i="7"/>
  <c r="H94" i="7" s="1"/>
  <c r="C95" i="7"/>
  <c r="H95" i="7" s="1"/>
  <c r="C96" i="7"/>
  <c r="H96" i="7" s="1"/>
  <c r="C97" i="7"/>
  <c r="H97" i="7" s="1"/>
  <c r="C77" i="7"/>
  <c r="C78" i="7"/>
  <c r="C79" i="7"/>
  <c r="C80" i="7"/>
  <c r="C81" i="7"/>
  <c r="C76" i="7"/>
  <c r="M65" i="12"/>
  <c r="C26" i="7"/>
  <c r="C27" i="7"/>
  <c r="C28" i="7"/>
  <c r="C29" i="7"/>
  <c r="C30" i="7"/>
  <c r="C33" i="7" s="1"/>
  <c r="C25" i="7"/>
  <c r="C65" i="12"/>
  <c r="C74" i="6"/>
  <c r="C75" i="6"/>
  <c r="C76" i="6"/>
  <c r="C77" i="6"/>
  <c r="C78" i="6"/>
  <c r="C73" i="6"/>
  <c r="C79" i="6" s="1"/>
  <c r="M53" i="12"/>
  <c r="C26" i="6"/>
  <c r="C27" i="6"/>
  <c r="C28" i="6"/>
  <c r="C29" i="6"/>
  <c r="C30" i="6"/>
  <c r="C25" i="6"/>
  <c r="C53" i="12"/>
  <c r="C41" i="12"/>
  <c r="AC21" i="4"/>
  <c r="AD21" i="4" s="1"/>
  <c r="AE21" i="4" s="1"/>
  <c r="AF21" i="4" s="1"/>
  <c r="AG21" i="4" s="1"/>
  <c r="AH21" i="4" s="1"/>
  <c r="AI21" i="4" s="1"/>
  <c r="AJ21" i="4" s="1"/>
  <c r="AK21" i="4" s="1"/>
  <c r="AL21" i="4" s="1"/>
  <c r="AC18" i="4"/>
  <c r="AD18" i="4" s="1"/>
  <c r="AE18" i="4" s="1"/>
  <c r="AF18" i="4" s="1"/>
  <c r="AG18" i="4" s="1"/>
  <c r="AH18" i="4" s="1"/>
  <c r="AI18" i="4" s="1"/>
  <c r="AJ18" i="4" s="1"/>
  <c r="AK18" i="4" s="1"/>
  <c r="AL18" i="4" s="1"/>
  <c r="P21" i="4"/>
  <c r="Q21" i="4" s="1"/>
  <c r="R21" i="4" s="1"/>
  <c r="S21" i="4" s="1"/>
  <c r="T21" i="4" s="1"/>
  <c r="U21" i="4" s="1"/>
  <c r="V21" i="4" s="1"/>
  <c r="W21" i="4" s="1"/>
  <c r="X21" i="4" s="1"/>
  <c r="Y21" i="4" s="1"/>
  <c r="P18" i="4"/>
  <c r="Q18" i="4" s="1"/>
  <c r="R18" i="4" s="1"/>
  <c r="S18" i="4" s="1"/>
  <c r="T18" i="4" s="1"/>
  <c r="U18" i="4" s="1"/>
  <c r="V18" i="4" s="1"/>
  <c r="W18" i="4" s="1"/>
  <c r="X18" i="4" s="1"/>
  <c r="Y18" i="4" s="1"/>
  <c r="C21" i="4"/>
  <c r="D21" i="4" s="1"/>
  <c r="E21" i="4" s="1"/>
  <c r="F21" i="4" s="1"/>
  <c r="G21" i="4" s="1"/>
  <c r="H21" i="4" s="1"/>
  <c r="I21" i="4" s="1"/>
  <c r="J21" i="4" s="1"/>
  <c r="K21" i="4" s="1"/>
  <c r="L21" i="4" s="1"/>
  <c r="C18" i="4"/>
  <c r="D18" i="4" s="1"/>
  <c r="E18" i="4" s="1"/>
  <c r="F18" i="4" s="1"/>
  <c r="G18" i="4" s="1"/>
  <c r="H18" i="4" s="1"/>
  <c r="I18" i="4" s="1"/>
  <c r="J18" i="4" s="1"/>
  <c r="K18" i="4" s="1"/>
  <c r="L18" i="4" s="1"/>
  <c r="I29" i="12"/>
  <c r="C29" i="12"/>
  <c r="N17" i="1"/>
  <c r="C10" i="1" s="1"/>
  <c r="O17" i="1"/>
  <c r="N18" i="1"/>
  <c r="C11" i="1" s="1"/>
  <c r="O18" i="1"/>
  <c r="N19" i="1"/>
  <c r="O19" i="1"/>
  <c r="C20" i="1" s="1"/>
  <c r="N20" i="1"/>
  <c r="O20" i="1"/>
  <c r="C21" i="1" s="1"/>
  <c r="O16" i="1"/>
  <c r="C17" i="1" s="1"/>
  <c r="N16" i="1"/>
  <c r="C9" i="1" s="1"/>
  <c r="N8" i="1"/>
  <c r="C16" i="1" s="1"/>
  <c r="N7" i="1"/>
  <c r="K47" i="10"/>
  <c r="J47" i="10"/>
  <c r="I47" i="10"/>
  <c r="H47" i="10"/>
  <c r="G47" i="10"/>
  <c r="F47" i="10"/>
  <c r="E47" i="10"/>
  <c r="D47" i="10"/>
  <c r="C47" i="10"/>
  <c r="C54" i="7"/>
  <c r="C53" i="7"/>
  <c r="C148" i="7"/>
  <c r="L97" i="7"/>
  <c r="K97" i="7"/>
  <c r="J97" i="7"/>
  <c r="I97" i="7"/>
  <c r="D97" i="7"/>
  <c r="L96" i="7"/>
  <c r="K96" i="7"/>
  <c r="K99" i="7" s="1"/>
  <c r="J96" i="7"/>
  <c r="I96" i="7"/>
  <c r="D96" i="7"/>
  <c r="L95" i="7"/>
  <c r="K95" i="7"/>
  <c r="J95" i="7"/>
  <c r="I95" i="7"/>
  <c r="D95" i="7"/>
  <c r="L94" i="7"/>
  <c r="K94" i="7"/>
  <c r="J94" i="7"/>
  <c r="I94" i="7"/>
  <c r="I100" i="7" s="1"/>
  <c r="D94" i="7"/>
  <c r="C52" i="7"/>
  <c r="C50" i="7"/>
  <c r="C97" i="6"/>
  <c r="C96" i="6"/>
  <c r="C95" i="6"/>
  <c r="Y22" i="4"/>
  <c r="AL8" i="4"/>
  <c r="Q12" i="4"/>
  <c r="R12" i="4" s="1"/>
  <c r="S12" i="4" s="1"/>
  <c r="T12" i="4" s="1"/>
  <c r="U12" i="4" s="1"/>
  <c r="V12" i="4" s="1"/>
  <c r="W12" i="4" s="1"/>
  <c r="X12" i="4" s="1"/>
  <c r="Y12" i="4" s="1"/>
  <c r="L20" i="4"/>
  <c r="L12" i="4"/>
  <c r="L8" i="4"/>
  <c r="B29" i="1"/>
  <c r="B24" i="1"/>
  <c r="L97" i="6"/>
  <c r="J96" i="6"/>
  <c r="J97" i="6"/>
  <c r="J47" i="6"/>
  <c r="AL22" i="2"/>
  <c r="AG34" i="2" l="1"/>
  <c r="AP33" i="2"/>
  <c r="E116" i="12"/>
  <c r="F116" i="12"/>
  <c r="K132" i="6"/>
  <c r="D130" i="6"/>
  <c r="C39" i="10" s="1"/>
  <c r="H129" i="6"/>
  <c r="I132" i="6"/>
  <c r="H131" i="6"/>
  <c r="D129" i="6"/>
  <c r="L147" i="7"/>
  <c r="J147" i="7"/>
  <c r="K146" i="7"/>
  <c r="I146" i="7"/>
  <c r="J99" i="7"/>
  <c r="K98" i="7"/>
  <c r="J24" i="8"/>
  <c r="K24" i="8"/>
  <c r="D24" i="8"/>
  <c r="C24" i="8"/>
  <c r="G24" i="8"/>
  <c r="I24" i="8"/>
  <c r="E24" i="8"/>
  <c r="F24" i="8"/>
  <c r="H24" i="8"/>
  <c r="K25" i="8"/>
  <c r="H25" i="8"/>
  <c r="D25" i="8"/>
  <c r="C25" i="8"/>
  <c r="E25" i="8"/>
  <c r="G25" i="8"/>
  <c r="F25" i="8"/>
  <c r="I25" i="8"/>
  <c r="J25" i="8"/>
  <c r="L100" i="7"/>
  <c r="C31" i="7"/>
  <c r="I148" i="7"/>
  <c r="L146" i="7"/>
  <c r="K147" i="7"/>
  <c r="K52" i="7"/>
  <c r="I147" i="7"/>
  <c r="E50" i="7"/>
  <c r="E52" i="7"/>
  <c r="K96" i="6"/>
  <c r="J98" i="7"/>
  <c r="D12" i="1"/>
  <c r="J50" i="6"/>
  <c r="G130" i="6"/>
  <c r="K48" i="6"/>
  <c r="K51" i="6"/>
  <c r="E129" i="6"/>
  <c r="H130" i="6"/>
  <c r="E130" i="6"/>
  <c r="I13" i="10"/>
  <c r="J13" i="10" s="1"/>
  <c r="D39" i="10"/>
  <c r="C61" i="10"/>
  <c r="L51" i="7"/>
  <c r="J51" i="7"/>
  <c r="K50" i="7"/>
  <c r="I50" i="7"/>
  <c r="B28" i="1"/>
  <c r="B26" i="1"/>
  <c r="C18" i="1"/>
  <c r="F131" i="6"/>
  <c r="C60" i="10"/>
  <c r="H127" i="6"/>
  <c r="H132" i="6" s="1"/>
  <c r="C149" i="7"/>
  <c r="D177" i="7"/>
  <c r="E146" i="7"/>
  <c r="L96" i="6"/>
  <c r="L49" i="6"/>
  <c r="K97" i="6"/>
  <c r="K50" i="6"/>
  <c r="J95" i="6"/>
  <c r="J100" i="6" s="1"/>
  <c r="I48" i="6"/>
  <c r="G127" i="6"/>
  <c r="F130" i="6"/>
  <c r="D132" i="6"/>
  <c r="J146" i="7"/>
  <c r="I52" i="7"/>
  <c r="L95" i="6"/>
  <c r="J49" i="6"/>
  <c r="I97" i="6"/>
  <c r="I47" i="6"/>
  <c r="E127" i="6"/>
  <c r="L148" i="7"/>
  <c r="J148" i="7"/>
  <c r="P33" i="2"/>
  <c r="E131" i="6"/>
  <c r="F128" i="6"/>
  <c r="F30" i="13"/>
  <c r="D56" i="10"/>
  <c r="D26" i="8" s="1"/>
  <c r="H43" i="6"/>
  <c r="C100" i="6"/>
  <c r="C132" i="6"/>
  <c r="F127" i="6"/>
  <c r="F129" i="6"/>
  <c r="F43" i="6"/>
  <c r="D131" i="6"/>
  <c r="C40" i="10" s="1"/>
  <c r="D40" i="10" s="1"/>
  <c r="E40" i="10" s="1"/>
  <c r="F40" i="10" s="1"/>
  <c r="G40" i="10" s="1"/>
  <c r="H40" i="10" s="1"/>
  <c r="I40" i="10" s="1"/>
  <c r="J40" i="10" s="1"/>
  <c r="K40" i="10" s="1"/>
  <c r="G128" i="6"/>
  <c r="C50" i="6"/>
  <c r="C99" i="6"/>
  <c r="L132" i="6"/>
  <c r="J132" i="6"/>
  <c r="L50" i="7"/>
  <c r="J50" i="7"/>
  <c r="J55" i="7" s="1"/>
  <c r="E51" i="7"/>
  <c r="K51" i="7"/>
  <c r="I51" i="7"/>
  <c r="C51" i="6"/>
  <c r="C19" i="1"/>
  <c r="C146" i="7"/>
  <c r="L47" i="6"/>
  <c r="K95" i="6"/>
  <c r="J48" i="6"/>
  <c r="J52" i="6" s="1"/>
  <c r="I96" i="6"/>
  <c r="I50" i="6"/>
  <c r="P34" i="2"/>
  <c r="K47" i="6"/>
  <c r="K52" i="6" s="1"/>
  <c r="H41" i="6"/>
  <c r="B25" i="1"/>
  <c r="D93" i="6"/>
  <c r="D96" i="6" s="1"/>
  <c r="F41" i="6"/>
  <c r="D47" i="7"/>
  <c r="G43" i="6"/>
  <c r="C13" i="1"/>
  <c r="C29" i="1" s="1"/>
  <c r="P32" i="2"/>
  <c r="AC32" i="2"/>
  <c r="C47" i="6"/>
  <c r="I51" i="6"/>
  <c r="C48" i="6"/>
  <c r="E94" i="7"/>
  <c r="K102" i="7"/>
  <c r="F97" i="7"/>
  <c r="L98" i="7"/>
  <c r="H47" i="7"/>
  <c r="G41" i="6"/>
  <c r="G47" i="6" s="1"/>
  <c r="C27" i="2"/>
  <c r="C182" i="7"/>
  <c r="C12" i="1"/>
  <c r="H46" i="7"/>
  <c r="D43" i="6"/>
  <c r="D49" i="6" s="1"/>
  <c r="D100" i="7"/>
  <c r="C49" i="6"/>
  <c r="C150" i="7"/>
  <c r="D8" i="1"/>
  <c r="E9" i="1" s="1"/>
  <c r="F10" i="1" s="1"/>
  <c r="G11" i="1" s="1"/>
  <c r="H12" i="1" s="1"/>
  <c r="I13" i="1" s="1"/>
  <c r="C8" i="1"/>
  <c r="D9" i="1" s="1"/>
  <c r="E10" i="1" s="1"/>
  <c r="K101" i="7"/>
  <c r="F36" i="13"/>
  <c r="E62" i="10" s="1"/>
  <c r="D91" i="6"/>
  <c r="C57" i="10"/>
  <c r="C62" i="10"/>
  <c r="A34" i="13"/>
  <c r="C63" i="10"/>
  <c r="C59" i="10"/>
  <c r="C22" i="2"/>
  <c r="G93" i="7"/>
  <c r="D22" i="2"/>
  <c r="P8" i="2"/>
  <c r="C75" i="11" s="1"/>
  <c r="C51" i="7"/>
  <c r="C55" i="7" s="1"/>
  <c r="K100" i="7"/>
  <c r="K103" i="7" s="1"/>
  <c r="D21" i="1"/>
  <c r="G144" i="7"/>
  <c r="P9" i="2"/>
  <c r="C76" i="11" s="1"/>
  <c r="C181" i="7"/>
  <c r="D144" i="7"/>
  <c r="F144" i="7"/>
  <c r="J51" i="6"/>
  <c r="E95" i="7"/>
  <c r="D142" i="7"/>
  <c r="F47" i="7"/>
  <c r="L50" i="6"/>
  <c r="C147" i="7"/>
  <c r="C98" i="6"/>
  <c r="F94" i="7"/>
  <c r="F100" i="7" s="1"/>
  <c r="H99" i="7"/>
  <c r="D93" i="7"/>
  <c r="D99" i="7" s="1"/>
  <c r="I99" i="7"/>
  <c r="D46" i="7"/>
  <c r="H144" i="7"/>
  <c r="E178" i="7"/>
  <c r="D180" i="7"/>
  <c r="I101" i="7"/>
  <c r="D140" i="7"/>
  <c r="AP32" i="2"/>
  <c r="K150" i="7"/>
  <c r="J100" i="7"/>
  <c r="D20" i="1"/>
  <c r="E21" i="1" s="1"/>
  <c r="H90" i="6"/>
  <c r="H96" i="6" s="1"/>
  <c r="D18" i="1"/>
  <c r="E19" i="1" s="1"/>
  <c r="F20" i="1" s="1"/>
  <c r="G21" i="1" s="1"/>
  <c r="C55" i="10"/>
  <c r="C26" i="8" s="1"/>
  <c r="D92" i="7"/>
  <c r="F90" i="6"/>
  <c r="G46" i="7"/>
  <c r="E92" i="7"/>
  <c r="H140" i="7"/>
  <c r="C99" i="7"/>
  <c r="C133" i="7"/>
  <c r="J99" i="6"/>
  <c r="G92" i="6"/>
  <c r="G95" i="6" s="1"/>
  <c r="C85" i="7"/>
  <c r="D48" i="7"/>
  <c r="G47" i="7"/>
  <c r="G90" i="6"/>
  <c r="I98" i="7"/>
  <c r="C83" i="7"/>
  <c r="K53" i="7"/>
  <c r="D10" i="1"/>
  <c r="E11" i="1" s="1"/>
  <c r="F12" i="1" s="1"/>
  <c r="G13" i="1" s="1"/>
  <c r="D19" i="1"/>
  <c r="E20" i="1" s="1"/>
  <c r="F21" i="1" s="1"/>
  <c r="F142" i="7"/>
  <c r="F148" i="7" s="1"/>
  <c r="L99" i="6"/>
  <c r="E97" i="6"/>
  <c r="D145" i="7"/>
  <c r="L53" i="7"/>
  <c r="F46" i="7"/>
  <c r="F92" i="6"/>
  <c r="E92" i="6"/>
  <c r="E99" i="6" s="1"/>
  <c r="AE27" i="2"/>
  <c r="AD32" i="2"/>
  <c r="R27" i="2"/>
  <c r="E13" i="6" s="1"/>
  <c r="Q32" i="2"/>
  <c r="D13" i="7"/>
  <c r="D127" i="7" s="1"/>
  <c r="C130" i="7"/>
  <c r="E96" i="7"/>
  <c r="E99" i="7" s="1"/>
  <c r="C33" i="6"/>
  <c r="C132" i="7"/>
  <c r="K99" i="6"/>
  <c r="D102" i="7"/>
  <c r="F96" i="7"/>
  <c r="F140" i="7"/>
  <c r="H94" i="6"/>
  <c r="H99" i="6" s="1"/>
  <c r="G94" i="6"/>
  <c r="F94" i="6"/>
  <c r="G96" i="7"/>
  <c r="C81" i="6"/>
  <c r="C32" i="7"/>
  <c r="H102" i="7"/>
  <c r="C64" i="10"/>
  <c r="H45" i="7"/>
  <c r="G93" i="6"/>
  <c r="F93" i="6"/>
  <c r="F96" i="6" s="1"/>
  <c r="C82" i="7"/>
  <c r="D45" i="7"/>
  <c r="G140" i="7"/>
  <c r="F45" i="7"/>
  <c r="K98" i="6"/>
  <c r="H89" i="6"/>
  <c r="H95" i="6" s="1"/>
  <c r="J102" i="7"/>
  <c r="C34" i="7"/>
  <c r="F89" i="6"/>
  <c r="L102" i="7"/>
  <c r="I149" i="7"/>
  <c r="H142" i="7"/>
  <c r="AK34" i="2"/>
  <c r="F42" i="6"/>
  <c r="E41" i="6"/>
  <c r="J151" i="7"/>
  <c r="H46" i="6"/>
  <c r="H49" i="6" s="1"/>
  <c r="G91" i="6"/>
  <c r="L101" i="7"/>
  <c r="C100" i="7"/>
  <c r="C101" i="7"/>
  <c r="G46" i="6"/>
  <c r="D44" i="7"/>
  <c r="L54" i="7"/>
  <c r="I150" i="7"/>
  <c r="I53" i="7"/>
  <c r="C183" i="7"/>
  <c r="J101" i="7"/>
  <c r="G142" i="7"/>
  <c r="J98" i="6"/>
  <c r="F46" i="6"/>
  <c r="Q28" i="2"/>
  <c r="D14" i="7" s="1"/>
  <c r="D80" i="7" s="1"/>
  <c r="D112" i="7" s="1"/>
  <c r="D49" i="7"/>
  <c r="K149" i="7"/>
  <c r="J54" i="7"/>
  <c r="E149" i="7"/>
  <c r="E96" i="6"/>
  <c r="E46" i="6"/>
  <c r="E49" i="6" s="1"/>
  <c r="AR27" i="2"/>
  <c r="D27" i="2"/>
  <c r="AQ32" i="2"/>
  <c r="AX22" i="2"/>
  <c r="P20" i="11"/>
  <c r="F10" i="4"/>
  <c r="Q20" i="11" s="1"/>
  <c r="H100" i="7"/>
  <c r="D28" i="1"/>
  <c r="E13" i="1"/>
  <c r="E29" i="1" s="1"/>
  <c r="E172" i="7"/>
  <c r="E174" i="7" s="1"/>
  <c r="D174" i="7"/>
  <c r="D183" i="7" s="1"/>
  <c r="C82" i="6"/>
  <c r="I98" i="6"/>
  <c r="D11" i="1"/>
  <c r="D27" i="1" s="1"/>
  <c r="C31" i="6"/>
  <c r="C86" i="7"/>
  <c r="F93" i="7"/>
  <c r="F99" i="7" s="1"/>
  <c r="L149" i="7"/>
  <c r="K54" i="7"/>
  <c r="J150" i="7"/>
  <c r="H44" i="7"/>
  <c r="G44" i="7"/>
  <c r="F44" i="7"/>
  <c r="H42" i="6"/>
  <c r="C27" i="1"/>
  <c r="L99" i="7"/>
  <c r="L103" i="7" s="1"/>
  <c r="C35" i="6"/>
  <c r="C83" i="6"/>
  <c r="C35" i="7"/>
  <c r="C84" i="7"/>
  <c r="C134" i="7"/>
  <c r="J53" i="7"/>
  <c r="D42" i="6"/>
  <c r="E42" i="6"/>
  <c r="E97" i="7"/>
  <c r="O20" i="11"/>
  <c r="J149" i="7"/>
  <c r="I54" i="7"/>
  <c r="I99" i="6"/>
  <c r="L52" i="6"/>
  <c r="G94" i="7"/>
  <c r="G101" i="7" s="1"/>
  <c r="G97" i="7"/>
  <c r="H49" i="7"/>
  <c r="G49" i="7"/>
  <c r="G52" i="7" s="1"/>
  <c r="F49" i="7"/>
  <c r="E54" i="7"/>
  <c r="L98" i="6"/>
  <c r="G42" i="6"/>
  <c r="C25" i="1"/>
  <c r="C34" i="6"/>
  <c r="C131" i="7"/>
  <c r="L150" i="7"/>
  <c r="G48" i="7"/>
  <c r="Q23" i="2"/>
  <c r="D9" i="7" s="1"/>
  <c r="D17" i="1"/>
  <c r="E18" i="1" s="1"/>
  <c r="F19" i="1" s="1"/>
  <c r="G20" i="1" s="1"/>
  <c r="H21" i="1" s="1"/>
  <c r="D13" i="1"/>
  <c r="C28" i="1"/>
  <c r="D16" i="1"/>
  <c r="I102" i="7"/>
  <c r="C80" i="6"/>
  <c r="C32" i="6"/>
  <c r="H92" i="7"/>
  <c r="C26" i="1"/>
  <c r="E39" i="13"/>
  <c r="C102" i="7"/>
  <c r="C36" i="7"/>
  <c r="F95" i="7"/>
  <c r="G95" i="7"/>
  <c r="C98" i="7"/>
  <c r="AE10" i="4"/>
  <c r="O22" i="11"/>
  <c r="P23" i="11"/>
  <c r="F13" i="4"/>
  <c r="D8" i="6"/>
  <c r="R22" i="2"/>
  <c r="D8" i="7"/>
  <c r="E176" i="7"/>
  <c r="E182" i="7" s="1"/>
  <c r="D43" i="10" s="1"/>
  <c r="D182" i="7"/>
  <c r="C43" i="10" s="1"/>
  <c r="E53" i="7"/>
  <c r="R13" i="4"/>
  <c r="O24" i="11"/>
  <c r="F173" i="7"/>
  <c r="P25" i="11"/>
  <c r="AF13" i="4"/>
  <c r="G18" i="10"/>
  <c r="H18" i="10" s="1"/>
  <c r="I18" i="10" s="1"/>
  <c r="J18" i="10" s="1"/>
  <c r="K18" i="10" s="1"/>
  <c r="L18" i="10" s="1"/>
  <c r="M18" i="10" s="1"/>
  <c r="N18" i="10" s="1"/>
  <c r="P21" i="11"/>
  <c r="S10" i="4"/>
  <c r="O23" i="11"/>
  <c r="H141" i="7"/>
  <c r="H147" i="7" s="1"/>
  <c r="G145" i="7"/>
  <c r="F143" i="7"/>
  <c r="H45" i="6"/>
  <c r="F44" i="6"/>
  <c r="D44" i="6"/>
  <c r="G45" i="7"/>
  <c r="F48" i="7"/>
  <c r="H91" i="6"/>
  <c r="H97" i="6" s="1"/>
  <c r="D89" i="6"/>
  <c r="AD23" i="2"/>
  <c r="AE23" i="2" s="1"/>
  <c r="O21" i="11"/>
  <c r="D181" i="7"/>
  <c r="C42" i="10" s="1"/>
  <c r="D141" i="7"/>
  <c r="H145" i="7"/>
  <c r="G143" i="7"/>
  <c r="E145" i="7"/>
  <c r="E148" i="7" s="1"/>
  <c r="E151" i="7" s="1"/>
  <c r="G45" i="6"/>
  <c r="D94" i="6"/>
  <c r="E89" i="6"/>
  <c r="D13" i="6"/>
  <c r="E45" i="6"/>
  <c r="E44" i="6"/>
  <c r="AX34" i="2"/>
  <c r="H143" i="7"/>
  <c r="F141" i="7"/>
  <c r="H44" i="6"/>
  <c r="F45" i="6"/>
  <c r="D92" i="6"/>
  <c r="C6" i="1"/>
  <c r="H48" i="7"/>
  <c r="F91" i="6"/>
  <c r="AD28" i="2"/>
  <c r="AE28" i="2" s="1"/>
  <c r="AF28" i="2" s="1"/>
  <c r="O25" i="11"/>
  <c r="D143" i="7"/>
  <c r="G141" i="7"/>
  <c r="AQ24" i="2"/>
  <c r="AQ29" i="2"/>
  <c r="AP34" i="2"/>
  <c r="AL34" i="2"/>
  <c r="AY34" i="2"/>
  <c r="A35" i="13"/>
  <c r="A59" i="10"/>
  <c r="A55" i="10"/>
  <c r="D10" i="8"/>
  <c r="C11" i="8"/>
  <c r="B8" i="14" s="1"/>
  <c r="G31" i="13"/>
  <c r="F57" i="10" s="1"/>
  <c r="H32" i="13"/>
  <c r="I32" i="13" s="1"/>
  <c r="F58" i="10"/>
  <c r="E58" i="10"/>
  <c r="G34" i="13"/>
  <c r="E60" i="10"/>
  <c r="F35" i="13"/>
  <c r="D60" i="10"/>
  <c r="F29" i="13"/>
  <c r="F33" i="13"/>
  <c r="F38" i="13"/>
  <c r="H8" i="10"/>
  <c r="I8" i="10" s="1"/>
  <c r="J8" i="10" s="1"/>
  <c r="K8" i="10" s="1"/>
  <c r="L8" i="10" s="1"/>
  <c r="M8" i="10" s="1"/>
  <c r="N8" i="10" s="1"/>
  <c r="H9" i="10"/>
  <c r="AD29" i="2"/>
  <c r="Q24" i="2"/>
  <c r="D10" i="7" s="1"/>
  <c r="D78" i="7" s="1"/>
  <c r="D110" i="7" s="1"/>
  <c r="AD24" i="2"/>
  <c r="AH34" i="2"/>
  <c r="AJ34" i="2"/>
  <c r="AW34" i="2"/>
  <c r="AT34" i="2"/>
  <c r="Q29" i="2"/>
  <c r="C29" i="2"/>
  <c r="AC8" i="2"/>
  <c r="C82" i="11" s="1"/>
  <c r="AF34" i="2"/>
  <c r="AU34" i="2"/>
  <c r="AP9" i="2"/>
  <c r="C90" i="11" s="1"/>
  <c r="AR34" i="2"/>
  <c r="AE34" i="2"/>
  <c r="AQ28" i="2"/>
  <c r="AC33" i="2"/>
  <c r="C24" i="2"/>
  <c r="AC9" i="2"/>
  <c r="C83" i="11" s="1"/>
  <c r="C28" i="2"/>
  <c r="AV34" i="2"/>
  <c r="AC34" i="2"/>
  <c r="AS34" i="2"/>
  <c r="AP8" i="2"/>
  <c r="C89" i="11" s="1"/>
  <c r="C23" i="2"/>
  <c r="AQ23" i="2"/>
  <c r="AI34" i="2"/>
  <c r="P10" i="2" l="1"/>
  <c r="C77" i="11" s="1"/>
  <c r="G116" i="12"/>
  <c r="E55" i="7"/>
  <c r="D148" i="7"/>
  <c r="I103" i="7"/>
  <c r="E132" i="6"/>
  <c r="J103" i="7"/>
  <c r="I151" i="7"/>
  <c r="K151" i="7"/>
  <c r="G98" i="6"/>
  <c r="D97" i="6"/>
  <c r="K100" i="6"/>
  <c r="L100" i="6"/>
  <c r="I52" i="6"/>
  <c r="G147" i="7"/>
  <c r="F147" i="7"/>
  <c r="G148" i="7"/>
  <c r="L151" i="7"/>
  <c r="E100" i="7"/>
  <c r="G99" i="7"/>
  <c r="C41" i="10"/>
  <c r="C22" i="8" s="1"/>
  <c r="G29" i="1"/>
  <c r="D41" i="10"/>
  <c r="D22" i="8" s="1"/>
  <c r="E39" i="10"/>
  <c r="K13" i="10"/>
  <c r="L13" i="10" s="1"/>
  <c r="M13" i="10" s="1"/>
  <c r="N13" i="10" s="1"/>
  <c r="I55" i="7"/>
  <c r="K55" i="7"/>
  <c r="H52" i="7"/>
  <c r="L55" i="7"/>
  <c r="E56" i="10"/>
  <c r="G30" i="13"/>
  <c r="F49" i="6"/>
  <c r="G50" i="7"/>
  <c r="C52" i="6"/>
  <c r="S27" i="2"/>
  <c r="F50" i="6"/>
  <c r="F132" i="6"/>
  <c r="C24" i="1"/>
  <c r="D101" i="7"/>
  <c r="I100" i="6"/>
  <c r="G132" i="6"/>
  <c r="E48" i="6"/>
  <c r="G96" i="6"/>
  <c r="F48" i="6"/>
  <c r="H50" i="7"/>
  <c r="F52" i="7"/>
  <c r="R28" i="2"/>
  <c r="E14" i="7" s="1"/>
  <c r="D98" i="7"/>
  <c r="D103" i="7" s="1"/>
  <c r="H50" i="6"/>
  <c r="D32" i="2"/>
  <c r="F28" i="1"/>
  <c r="F50" i="7"/>
  <c r="D52" i="7"/>
  <c r="F97" i="6"/>
  <c r="E27" i="1"/>
  <c r="H148" i="7"/>
  <c r="D26" i="1"/>
  <c r="G36" i="13"/>
  <c r="AP10" i="2"/>
  <c r="C91" i="11" s="1"/>
  <c r="E8" i="1"/>
  <c r="F9" i="1" s="1"/>
  <c r="R29" i="2"/>
  <c r="E29" i="2" s="1"/>
  <c r="D147" i="7"/>
  <c r="C135" i="7"/>
  <c r="G50" i="6"/>
  <c r="G49" i="6"/>
  <c r="C151" i="7"/>
  <c r="C32" i="2"/>
  <c r="C69" i="10"/>
  <c r="E13" i="7"/>
  <c r="E28" i="7" s="1"/>
  <c r="E63" i="7" s="1"/>
  <c r="AQ34" i="2"/>
  <c r="C87" i="7"/>
  <c r="H31" i="13"/>
  <c r="I31" i="13" s="1"/>
  <c r="D29" i="1"/>
  <c r="E98" i="7"/>
  <c r="C103" i="7"/>
  <c r="C84" i="6"/>
  <c r="F178" i="7"/>
  <c r="E180" i="7"/>
  <c r="G99" i="6"/>
  <c r="D54" i="7"/>
  <c r="E101" i="7"/>
  <c r="F95" i="6"/>
  <c r="G10" i="4"/>
  <c r="R20" i="11" s="1"/>
  <c r="G54" i="7"/>
  <c r="H100" i="6"/>
  <c r="D51" i="7"/>
  <c r="G58" i="10"/>
  <c r="E50" i="6"/>
  <c r="D28" i="7"/>
  <c r="D63" i="7" s="1"/>
  <c r="D79" i="7"/>
  <c r="D111" i="7" s="1"/>
  <c r="C36" i="6"/>
  <c r="G97" i="6"/>
  <c r="G100" i="6" s="1"/>
  <c r="C44" i="10"/>
  <c r="C23" i="8" s="1"/>
  <c r="O35" i="11" s="1"/>
  <c r="F172" i="7"/>
  <c r="G172" i="7" s="1"/>
  <c r="F99" i="6"/>
  <c r="E181" i="7"/>
  <c r="D42" i="10" s="1"/>
  <c r="D44" i="10" s="1"/>
  <c r="D23" i="8" s="1"/>
  <c r="P35" i="11" s="1"/>
  <c r="G100" i="7"/>
  <c r="AF27" i="2"/>
  <c r="Q83" i="11" s="1"/>
  <c r="AE32" i="2"/>
  <c r="R23" i="2"/>
  <c r="S23" i="2" s="1"/>
  <c r="AD9" i="2"/>
  <c r="D83" i="11" s="1"/>
  <c r="D29" i="7"/>
  <c r="D64" i="7" s="1"/>
  <c r="Q33" i="2"/>
  <c r="D128" i="7"/>
  <c r="D160" i="7" s="1"/>
  <c r="D9" i="6"/>
  <c r="D26" i="6" s="1"/>
  <c r="D58" i="6" s="1"/>
  <c r="D14" i="6"/>
  <c r="D29" i="6" s="1"/>
  <c r="H48" i="6"/>
  <c r="E12" i="1"/>
  <c r="F13" i="1" s="1"/>
  <c r="F29" i="1" s="1"/>
  <c r="D25" i="1"/>
  <c r="D53" i="7"/>
  <c r="D50" i="7"/>
  <c r="H53" i="7"/>
  <c r="E150" i="7"/>
  <c r="F101" i="7"/>
  <c r="AY22" i="2"/>
  <c r="G149" i="7"/>
  <c r="D50" i="6"/>
  <c r="D48" i="6"/>
  <c r="H149" i="7"/>
  <c r="G102" i="7"/>
  <c r="F53" i="7"/>
  <c r="E102" i="7"/>
  <c r="AS27" i="2"/>
  <c r="AR32" i="2"/>
  <c r="E27" i="2"/>
  <c r="D10" i="6"/>
  <c r="D75" i="6" s="1"/>
  <c r="D107" i="6" s="1"/>
  <c r="AQ9" i="2"/>
  <c r="D90" i="11" s="1"/>
  <c r="F54" i="7"/>
  <c r="F51" i="7"/>
  <c r="E8" i="7"/>
  <c r="S22" i="2"/>
  <c r="E8" i="6"/>
  <c r="R32" i="2"/>
  <c r="E22" i="2"/>
  <c r="P22" i="11"/>
  <c r="AF10" i="4"/>
  <c r="H54" i="7"/>
  <c r="H51" i="7"/>
  <c r="E51" i="6"/>
  <c r="E47" i="6"/>
  <c r="G53" i="7"/>
  <c r="G51" i="7"/>
  <c r="D25" i="6"/>
  <c r="D73" i="6"/>
  <c r="D105" i="6" s="1"/>
  <c r="D18" i="6"/>
  <c r="H98" i="7"/>
  <c r="H103" i="7" s="1"/>
  <c r="H101" i="7"/>
  <c r="G150" i="7"/>
  <c r="G146" i="7"/>
  <c r="AD33" i="2"/>
  <c r="D51" i="6"/>
  <c r="D47" i="6"/>
  <c r="F13" i="7"/>
  <c r="F13" i="6"/>
  <c r="T27" i="2"/>
  <c r="E26" i="1"/>
  <c r="F11" i="1"/>
  <c r="F47" i="6"/>
  <c r="F51" i="6"/>
  <c r="E76" i="6"/>
  <c r="E108" i="6" s="1"/>
  <c r="E28" i="6"/>
  <c r="E60" i="6" s="1"/>
  <c r="Q25" i="11"/>
  <c r="AG13" i="4"/>
  <c r="P24" i="11"/>
  <c r="S13" i="4"/>
  <c r="F98" i="7"/>
  <c r="F103" i="7" s="1"/>
  <c r="F102" i="7"/>
  <c r="D99" i="6"/>
  <c r="D76" i="6"/>
  <c r="D108" i="6" s="1"/>
  <c r="D28" i="6"/>
  <c r="D60" i="6" s="1"/>
  <c r="D150" i="7"/>
  <c r="D159" i="7"/>
  <c r="D146" i="7"/>
  <c r="E98" i="6"/>
  <c r="E95" i="6"/>
  <c r="E100" i="6" s="1"/>
  <c r="Q21" i="11"/>
  <c r="T10" i="4"/>
  <c r="D149" i="7"/>
  <c r="G98" i="7"/>
  <c r="H51" i="6"/>
  <c r="H47" i="6"/>
  <c r="F150" i="7"/>
  <c r="F146" i="7"/>
  <c r="G173" i="7"/>
  <c r="Q23" i="11"/>
  <c r="G13" i="4"/>
  <c r="G48" i="6"/>
  <c r="G51" i="6"/>
  <c r="D98" i="6"/>
  <c r="D95" i="6"/>
  <c r="F98" i="6"/>
  <c r="F176" i="7"/>
  <c r="E177" i="7"/>
  <c r="F8" i="1"/>
  <c r="AD8" i="2"/>
  <c r="D82" i="11" s="1"/>
  <c r="H150" i="7"/>
  <c r="H146" i="7"/>
  <c r="H98" i="6"/>
  <c r="F149" i="7"/>
  <c r="D25" i="7"/>
  <c r="D124" i="7"/>
  <c r="D76" i="7"/>
  <c r="D18" i="7"/>
  <c r="D65" i="10"/>
  <c r="F39" i="13"/>
  <c r="E16" i="1"/>
  <c r="D24" i="1"/>
  <c r="E17" i="1"/>
  <c r="E28" i="1"/>
  <c r="D27" i="7"/>
  <c r="D62" i="7" s="1"/>
  <c r="R24" i="2"/>
  <c r="E10" i="6" s="1"/>
  <c r="E27" i="6" s="1"/>
  <c r="E59" i="6" s="1"/>
  <c r="D126" i="7"/>
  <c r="D158" i="7" s="1"/>
  <c r="D24" i="2"/>
  <c r="C46" i="2"/>
  <c r="E10" i="8"/>
  <c r="D11" i="8"/>
  <c r="C8" i="14" s="1"/>
  <c r="F62" i="10"/>
  <c r="H36" i="13"/>
  <c r="E61" i="10"/>
  <c r="G35" i="13"/>
  <c r="G38" i="13"/>
  <c r="E64" i="10"/>
  <c r="J32" i="13"/>
  <c r="H58" i="10"/>
  <c r="G33" i="13"/>
  <c r="E59" i="10"/>
  <c r="E55" i="10"/>
  <c r="E26" i="8" s="1"/>
  <c r="G29" i="13"/>
  <c r="H34" i="13"/>
  <c r="F60" i="10"/>
  <c r="D63" i="10"/>
  <c r="F37" i="13"/>
  <c r="H17" i="10"/>
  <c r="I9" i="10"/>
  <c r="AD34" i="2"/>
  <c r="AE9" i="2"/>
  <c r="E83" i="11" s="1"/>
  <c r="O82" i="11"/>
  <c r="D29" i="2"/>
  <c r="O75" i="11"/>
  <c r="O83" i="11"/>
  <c r="Q8" i="2"/>
  <c r="D75" i="11" s="1"/>
  <c r="D28" i="2"/>
  <c r="D15" i="6"/>
  <c r="D15" i="7"/>
  <c r="Q34" i="2"/>
  <c r="O76" i="11"/>
  <c r="Q9" i="2"/>
  <c r="D76" i="11" s="1"/>
  <c r="C34" i="2"/>
  <c r="AE8" i="2"/>
  <c r="E82" i="11" s="1"/>
  <c r="P82" i="11"/>
  <c r="AF23" i="2"/>
  <c r="AF33" i="2" s="1"/>
  <c r="C9" i="2"/>
  <c r="C69" i="11" s="1"/>
  <c r="AC10" i="2"/>
  <c r="C84" i="11" s="1"/>
  <c r="AG28" i="2"/>
  <c r="P83" i="11"/>
  <c r="AE33" i="2"/>
  <c r="AE10" i="2" s="1"/>
  <c r="E84" i="11" s="1"/>
  <c r="D26" i="7"/>
  <c r="D19" i="7"/>
  <c r="D125" i="7"/>
  <c r="D77" i="7"/>
  <c r="O90" i="11"/>
  <c r="AR28" i="2"/>
  <c r="E28" i="2" s="1"/>
  <c r="S28" i="2"/>
  <c r="AR23" i="2"/>
  <c r="O89" i="11"/>
  <c r="AQ8" i="2"/>
  <c r="D89" i="11" s="1"/>
  <c r="AQ33" i="2"/>
  <c r="D23" i="2"/>
  <c r="C45" i="2"/>
  <c r="C33" i="2"/>
  <c r="C8" i="2"/>
  <c r="C68" i="11" s="1"/>
  <c r="E14" i="6" l="1"/>
  <c r="E29" i="6" s="1"/>
  <c r="R9" i="2"/>
  <c r="E76" i="11" s="1"/>
  <c r="D20" i="6"/>
  <c r="H116" i="12"/>
  <c r="E52" i="6"/>
  <c r="D100" i="6"/>
  <c r="F151" i="7"/>
  <c r="H151" i="7"/>
  <c r="G151" i="7"/>
  <c r="G103" i="7"/>
  <c r="E103" i="7"/>
  <c r="P76" i="11"/>
  <c r="E41" i="10"/>
  <c r="E22" i="8" s="1"/>
  <c r="F39" i="10"/>
  <c r="G55" i="7"/>
  <c r="E9" i="7"/>
  <c r="E77" i="7" s="1"/>
  <c r="E9" i="6"/>
  <c r="E19" i="6" s="1"/>
  <c r="S29" i="2"/>
  <c r="F15" i="6" s="1"/>
  <c r="F30" i="6" s="1"/>
  <c r="F62" i="6" s="1"/>
  <c r="E24" i="1"/>
  <c r="E79" i="7"/>
  <c r="E111" i="7" s="1"/>
  <c r="E15" i="6"/>
  <c r="E30" i="6" s="1"/>
  <c r="E15" i="7"/>
  <c r="E129" i="7" s="1"/>
  <c r="E127" i="7"/>
  <c r="E159" i="7" s="1"/>
  <c r="F56" i="10"/>
  <c r="H30" i="13"/>
  <c r="R33" i="2"/>
  <c r="G52" i="6"/>
  <c r="D74" i="6"/>
  <c r="D106" i="6" s="1"/>
  <c r="F52" i="6"/>
  <c r="H55" i="7"/>
  <c r="F55" i="7"/>
  <c r="G57" i="10"/>
  <c r="AF9" i="2"/>
  <c r="F83" i="11" s="1"/>
  <c r="F100" i="6"/>
  <c r="AQ10" i="2"/>
  <c r="D91" i="11" s="1"/>
  <c r="H52" i="6"/>
  <c r="D151" i="7"/>
  <c r="H10" i="4"/>
  <c r="S20" i="11" s="1"/>
  <c r="E183" i="7"/>
  <c r="D69" i="10"/>
  <c r="F27" i="2"/>
  <c r="G178" i="7"/>
  <c r="G181" i="7" s="1"/>
  <c r="F42" i="10" s="1"/>
  <c r="F180" i="7"/>
  <c r="F174" i="7"/>
  <c r="E24" i="2"/>
  <c r="F181" i="7"/>
  <c r="E42" i="10" s="1"/>
  <c r="D55" i="7"/>
  <c r="D131" i="7"/>
  <c r="D163" i="7" s="1"/>
  <c r="D32" i="6"/>
  <c r="D64" i="6" s="1"/>
  <c r="AG27" i="2"/>
  <c r="AF32" i="2"/>
  <c r="AF10" i="2" s="1"/>
  <c r="F84" i="11" s="1"/>
  <c r="E32" i="2"/>
  <c r="P75" i="11"/>
  <c r="P77" i="11" s="1"/>
  <c r="R8" i="2"/>
  <c r="E75" i="11" s="1"/>
  <c r="Q10" i="2"/>
  <c r="D77" i="11" s="1"/>
  <c r="D19" i="6"/>
  <c r="D77" i="6"/>
  <c r="AD10" i="2"/>
  <c r="D84" i="11" s="1"/>
  <c r="D52" i="6"/>
  <c r="AT27" i="2"/>
  <c r="AS32" i="2"/>
  <c r="D27" i="6"/>
  <c r="O69" i="11"/>
  <c r="E10" i="7"/>
  <c r="E126" i="7" s="1"/>
  <c r="E158" i="7" s="1"/>
  <c r="G10" i="1"/>
  <c r="D60" i="7"/>
  <c r="D31" i="7"/>
  <c r="D66" i="7" s="1"/>
  <c r="G8" i="1"/>
  <c r="G9" i="1"/>
  <c r="F76" i="6"/>
  <c r="F108" i="6" s="1"/>
  <c r="F28" i="6"/>
  <c r="F60" i="6" s="1"/>
  <c r="U27" i="2"/>
  <c r="G13" i="7"/>
  <c r="G13" i="6"/>
  <c r="F16" i="1"/>
  <c r="F17" i="1"/>
  <c r="G18" i="1" s="1"/>
  <c r="H19" i="1" s="1"/>
  <c r="I20" i="1" s="1"/>
  <c r="J21" i="1" s="1"/>
  <c r="T13" i="4"/>
  <c r="Q24" i="11"/>
  <c r="G12" i="1"/>
  <c r="F27" i="1"/>
  <c r="F28" i="7"/>
  <c r="F63" i="7" s="1"/>
  <c r="F127" i="7"/>
  <c r="F159" i="7" s="1"/>
  <c r="F79" i="7"/>
  <c r="F111" i="7" s="1"/>
  <c r="E65" i="10"/>
  <c r="G39" i="13"/>
  <c r="G176" i="7"/>
  <c r="G182" i="7" s="1"/>
  <c r="F43" i="10" s="1"/>
  <c r="F177" i="7"/>
  <c r="R23" i="11"/>
  <c r="H13" i="4"/>
  <c r="D79" i="6"/>
  <c r="D111" i="6" s="1"/>
  <c r="E73" i="6"/>
  <c r="E25" i="6"/>
  <c r="E18" i="6"/>
  <c r="R25" i="11"/>
  <c r="AH13" i="4"/>
  <c r="D57" i="6"/>
  <c r="D31" i="6"/>
  <c r="D63" i="6" s="1"/>
  <c r="F8" i="6"/>
  <c r="T22" i="2"/>
  <c r="F8" i="7"/>
  <c r="F22" i="2"/>
  <c r="F32" i="2" s="1"/>
  <c r="S32" i="2"/>
  <c r="H173" i="7"/>
  <c r="E25" i="7"/>
  <c r="E124" i="7"/>
  <c r="E76" i="7"/>
  <c r="E18" i="7"/>
  <c r="F18" i="1"/>
  <c r="E25" i="1"/>
  <c r="D108" i="7"/>
  <c r="C27" i="10" s="1"/>
  <c r="D82" i="7"/>
  <c r="D114" i="7" s="1"/>
  <c r="F182" i="7"/>
  <c r="E43" i="10" s="1"/>
  <c r="R21" i="11"/>
  <c r="U10" i="4"/>
  <c r="H172" i="7"/>
  <c r="G174" i="7"/>
  <c r="D156" i="7"/>
  <c r="D130" i="7"/>
  <c r="D162" i="7" s="1"/>
  <c r="Q22" i="11"/>
  <c r="AG10" i="4"/>
  <c r="R34" i="2"/>
  <c r="D34" i="2"/>
  <c r="S24" i="2"/>
  <c r="E75" i="6"/>
  <c r="E107" i="6" s="1"/>
  <c r="E34" i="2"/>
  <c r="O77" i="11"/>
  <c r="E11" i="8"/>
  <c r="D8" i="14" s="1"/>
  <c r="F10" i="8"/>
  <c r="G62" i="10"/>
  <c r="I36" i="13"/>
  <c r="J31" i="13"/>
  <c r="H57" i="10"/>
  <c r="F64" i="10"/>
  <c r="H38" i="13"/>
  <c r="F61" i="10"/>
  <c r="H35" i="13"/>
  <c r="K32" i="13"/>
  <c r="I58" i="10"/>
  <c r="I34" i="13"/>
  <c r="G60" i="10"/>
  <c r="F55" i="10"/>
  <c r="F26" i="8" s="1"/>
  <c r="H29" i="13"/>
  <c r="H33" i="13"/>
  <c r="F59" i="10"/>
  <c r="E63" i="10"/>
  <c r="G37" i="13"/>
  <c r="J9" i="10"/>
  <c r="I17" i="10"/>
  <c r="O84" i="11"/>
  <c r="P84" i="11"/>
  <c r="Q82" i="11"/>
  <c r="Q84" i="11" s="1"/>
  <c r="AG23" i="2"/>
  <c r="AF8" i="2"/>
  <c r="F82" i="11" s="1"/>
  <c r="D30" i="6"/>
  <c r="D35" i="6" s="1"/>
  <c r="D78" i="6"/>
  <c r="D129" i="7"/>
  <c r="D30" i="7"/>
  <c r="D20" i="7"/>
  <c r="D81" i="7"/>
  <c r="D46" i="2"/>
  <c r="D9" i="2"/>
  <c r="D34" i="7"/>
  <c r="D69" i="7" s="1"/>
  <c r="C24" i="10" s="1"/>
  <c r="D32" i="7"/>
  <c r="D61" i="7"/>
  <c r="AG9" i="2"/>
  <c r="G83" i="11" s="1"/>
  <c r="R83" i="11"/>
  <c r="AH28" i="2"/>
  <c r="D133" i="7"/>
  <c r="D165" i="7" s="1"/>
  <c r="C30" i="10" s="1"/>
  <c r="D157" i="7"/>
  <c r="O91" i="11"/>
  <c r="AS28" i="2"/>
  <c r="AR9" i="2"/>
  <c r="E90" i="11" s="1"/>
  <c r="P90" i="11"/>
  <c r="D83" i="7"/>
  <c r="D115" i="7" s="1"/>
  <c r="D85" i="7"/>
  <c r="D117" i="7" s="1"/>
  <c r="D109" i="7"/>
  <c r="C28" i="10" s="1"/>
  <c r="F9" i="7"/>
  <c r="T23" i="2"/>
  <c r="F9" i="6"/>
  <c r="C10" i="2"/>
  <c r="C70" i="11" s="1"/>
  <c r="C47" i="2"/>
  <c r="P69" i="11"/>
  <c r="E9" i="2"/>
  <c r="E46" i="2"/>
  <c r="E29" i="7"/>
  <c r="E128" i="7"/>
  <c r="E80" i="7"/>
  <c r="F14" i="6"/>
  <c r="T28" i="2"/>
  <c r="F14" i="7"/>
  <c r="S33" i="2"/>
  <c r="P89" i="11"/>
  <c r="AS23" i="2"/>
  <c r="AR33" i="2"/>
  <c r="AR10" i="2" s="1"/>
  <c r="E91" i="11" s="1"/>
  <c r="AR8" i="2"/>
  <c r="E89" i="11" s="1"/>
  <c r="E23" i="2"/>
  <c r="D61" i="6"/>
  <c r="D33" i="2"/>
  <c r="D8" i="2"/>
  <c r="O68" i="11"/>
  <c r="D45" i="2"/>
  <c r="E77" i="6"/>
  <c r="F15" i="7" l="1"/>
  <c r="F30" i="7" s="1"/>
  <c r="F65" i="7" s="1"/>
  <c r="E20" i="6"/>
  <c r="E78" i="6"/>
  <c r="E83" i="6" s="1"/>
  <c r="E115" i="6" s="1"/>
  <c r="E81" i="7"/>
  <c r="E113" i="7" s="1"/>
  <c r="T29" i="2"/>
  <c r="G29" i="2" s="1"/>
  <c r="F78" i="6"/>
  <c r="F110" i="6" s="1"/>
  <c r="E26" i="6"/>
  <c r="E34" i="6" s="1"/>
  <c r="E74" i="6"/>
  <c r="E106" i="6" s="1"/>
  <c r="E19" i="7"/>
  <c r="O70" i="11"/>
  <c r="E125" i="7"/>
  <c r="E133" i="7" s="1"/>
  <c r="E165" i="7" s="1"/>
  <c r="D30" i="10" s="1"/>
  <c r="F29" i="2"/>
  <c r="E26" i="7"/>
  <c r="E61" i="7" s="1"/>
  <c r="Q76" i="11"/>
  <c r="E30" i="7"/>
  <c r="E65" i="7" s="1"/>
  <c r="D83" i="6"/>
  <c r="D115" i="6" s="1"/>
  <c r="C37" i="10" s="1"/>
  <c r="S9" i="2"/>
  <c r="F76" i="11" s="1"/>
  <c r="S34" i="2"/>
  <c r="S10" i="2" s="1"/>
  <c r="F77" i="11" s="1"/>
  <c r="R10" i="2"/>
  <c r="E77" i="11" s="1"/>
  <c r="I116" i="12"/>
  <c r="F183" i="7"/>
  <c r="F41" i="10"/>
  <c r="F22" i="8" s="1"/>
  <c r="G39" i="10"/>
  <c r="I10" i="4"/>
  <c r="G56" i="10"/>
  <c r="I30" i="13"/>
  <c r="C29" i="10"/>
  <c r="C18" i="8" s="1"/>
  <c r="E44" i="10"/>
  <c r="E23" i="8" s="1"/>
  <c r="Q35" i="11" s="1"/>
  <c r="D82" i="6"/>
  <c r="D114" i="6" s="1"/>
  <c r="C36" i="10" s="1"/>
  <c r="D80" i="6"/>
  <c r="D112" i="6" s="1"/>
  <c r="H178" i="7"/>
  <c r="G180" i="7"/>
  <c r="D109" i="6"/>
  <c r="G27" i="2"/>
  <c r="AH27" i="2"/>
  <c r="AI28" i="2" s="1"/>
  <c r="AG32" i="2"/>
  <c r="E20" i="7"/>
  <c r="E78" i="7"/>
  <c r="E110" i="7" s="1"/>
  <c r="E27" i="7"/>
  <c r="E62" i="7" s="1"/>
  <c r="E69" i="10"/>
  <c r="D34" i="6"/>
  <c r="D59" i="6"/>
  <c r="D66" i="6" s="1"/>
  <c r="C33" i="10" s="1"/>
  <c r="AU27" i="2"/>
  <c r="H27" i="2" s="1"/>
  <c r="AT32" i="2"/>
  <c r="E60" i="7"/>
  <c r="E31" i="7"/>
  <c r="E66" i="7" s="1"/>
  <c r="G16" i="1"/>
  <c r="G24" i="1" s="1"/>
  <c r="G17" i="1"/>
  <c r="H18" i="1" s="1"/>
  <c r="I19" i="1" s="1"/>
  <c r="J20" i="1" s="1"/>
  <c r="K21" i="1" s="1"/>
  <c r="F10" i="7"/>
  <c r="F20" i="7" s="1"/>
  <c r="I173" i="7"/>
  <c r="S23" i="11"/>
  <c r="I13" i="4"/>
  <c r="G28" i="6"/>
  <c r="G60" i="6" s="1"/>
  <c r="G76" i="6"/>
  <c r="G108" i="6" s="1"/>
  <c r="F24" i="1"/>
  <c r="S25" i="11"/>
  <c r="AI13" i="4"/>
  <c r="G28" i="7"/>
  <c r="G63" i="7" s="1"/>
  <c r="G127" i="7"/>
  <c r="G159" i="7" s="1"/>
  <c r="G79" i="7"/>
  <c r="G111" i="7" s="1"/>
  <c r="H9" i="1"/>
  <c r="H8" i="1"/>
  <c r="H181" i="7"/>
  <c r="G42" i="10" s="1"/>
  <c r="I172" i="7"/>
  <c r="H174" i="7"/>
  <c r="G19" i="1"/>
  <c r="F26" i="1"/>
  <c r="H13" i="1"/>
  <c r="H29" i="1" s="1"/>
  <c r="G28" i="1"/>
  <c r="H13" i="6"/>
  <c r="V27" i="2"/>
  <c r="H13" i="7"/>
  <c r="AH10" i="4"/>
  <c r="R22" i="11"/>
  <c r="F124" i="7"/>
  <c r="F25" i="7"/>
  <c r="F76" i="7"/>
  <c r="F18" i="7"/>
  <c r="H176" i="7"/>
  <c r="H182" i="7" s="1"/>
  <c r="G43" i="10" s="1"/>
  <c r="G177" i="7"/>
  <c r="G183" i="7" s="1"/>
  <c r="H10" i="1"/>
  <c r="F129" i="7"/>
  <c r="F161" i="7" s="1"/>
  <c r="S21" i="11"/>
  <c r="V10" i="4"/>
  <c r="E108" i="7"/>
  <c r="D27" i="10" s="1"/>
  <c r="E82" i="7"/>
  <c r="E114" i="7" s="1"/>
  <c r="G8" i="7"/>
  <c r="G8" i="6"/>
  <c r="U22" i="2"/>
  <c r="G22" i="2"/>
  <c r="T32" i="2"/>
  <c r="E57" i="6"/>
  <c r="E31" i="6"/>
  <c r="E63" i="6" s="1"/>
  <c r="H39" i="13"/>
  <c r="F65" i="10"/>
  <c r="R24" i="11"/>
  <c r="U13" i="4"/>
  <c r="G26" i="1"/>
  <c r="H11" i="1"/>
  <c r="E156" i="7"/>
  <c r="E130" i="7"/>
  <c r="E162" i="7" s="1"/>
  <c r="F25" i="6"/>
  <c r="F73" i="6"/>
  <c r="F18" i="6"/>
  <c r="E79" i="6"/>
  <c r="E111" i="6" s="1"/>
  <c r="E105" i="6"/>
  <c r="T20" i="11"/>
  <c r="J10" i="4"/>
  <c r="F25" i="1"/>
  <c r="S8" i="2"/>
  <c r="F75" i="11" s="1"/>
  <c r="Q75" i="11"/>
  <c r="F24" i="2"/>
  <c r="F10" i="6"/>
  <c r="F75" i="6" s="1"/>
  <c r="T24" i="2"/>
  <c r="U24" i="2" s="1"/>
  <c r="F11" i="8"/>
  <c r="E8" i="14" s="1"/>
  <c r="G10" i="8"/>
  <c r="H62" i="10"/>
  <c r="J36" i="13"/>
  <c r="I57" i="10"/>
  <c r="K31" i="13"/>
  <c r="J34" i="13"/>
  <c r="H60" i="10"/>
  <c r="L32" i="13"/>
  <c r="K58" i="10" s="1"/>
  <c r="J58" i="10"/>
  <c r="I33" i="13"/>
  <c r="G59" i="10"/>
  <c r="I35" i="13"/>
  <c r="G61" i="10"/>
  <c r="I29" i="13"/>
  <c r="G55" i="10"/>
  <c r="G26" i="8" s="1"/>
  <c r="I38" i="13"/>
  <c r="G64" i="10"/>
  <c r="F63" i="10"/>
  <c r="H37" i="13"/>
  <c r="K9" i="10"/>
  <c r="J17" i="10"/>
  <c r="F44" i="10"/>
  <c r="F23" i="8" s="1"/>
  <c r="R35" i="11" s="1"/>
  <c r="E161" i="7"/>
  <c r="E132" i="7"/>
  <c r="E164" i="7" s="1"/>
  <c r="E62" i="6"/>
  <c r="E33" i="6"/>
  <c r="E65" i="6" s="1"/>
  <c r="D62" i="6"/>
  <c r="D67" i="6" s="1"/>
  <c r="C34" i="10" s="1"/>
  <c r="D33" i="6"/>
  <c r="D65" i="7"/>
  <c r="D33" i="7"/>
  <c r="D68" i="7" s="1"/>
  <c r="D35" i="7"/>
  <c r="D70" i="7" s="1"/>
  <c r="C25" i="10" s="1"/>
  <c r="C26" i="10" s="1"/>
  <c r="C17" i="8" s="1"/>
  <c r="D161" i="7"/>
  <c r="D132" i="7"/>
  <c r="D134" i="7"/>
  <c r="D166" i="7" s="1"/>
  <c r="C31" i="10" s="1"/>
  <c r="C32" i="10" s="1"/>
  <c r="C19" i="8" s="1"/>
  <c r="O32" i="11" s="1"/>
  <c r="O14" i="11"/>
  <c r="D69" i="11"/>
  <c r="AH23" i="2"/>
  <c r="R82" i="11"/>
  <c r="R84" i="11" s="1"/>
  <c r="AG8" i="2"/>
  <c r="G82" i="11" s="1"/>
  <c r="AG33" i="2"/>
  <c r="D86" i="7"/>
  <c r="D118" i="7" s="1"/>
  <c r="D84" i="7"/>
  <c r="D116" i="7" s="1"/>
  <c r="D113" i="7"/>
  <c r="D110" i="6"/>
  <c r="D81" i="6"/>
  <c r="E109" i="7"/>
  <c r="D28" i="10" s="1"/>
  <c r="D67" i="7"/>
  <c r="AS9" i="2"/>
  <c r="F90" i="11" s="1"/>
  <c r="AT28" i="2"/>
  <c r="G28" i="2" s="1"/>
  <c r="Q90" i="11"/>
  <c r="G9" i="6"/>
  <c r="G9" i="7"/>
  <c r="U23" i="2"/>
  <c r="P91" i="11"/>
  <c r="F28" i="2"/>
  <c r="F26" i="6"/>
  <c r="F74" i="6"/>
  <c r="F26" i="7"/>
  <c r="F77" i="7"/>
  <c r="F125" i="7"/>
  <c r="E58" i="6"/>
  <c r="E134" i="7"/>
  <c r="E166" i="7" s="1"/>
  <c r="D31" i="10" s="1"/>
  <c r="E160" i="7"/>
  <c r="E109" i="6"/>
  <c r="P68" i="11"/>
  <c r="P70" i="11" s="1"/>
  <c r="E45" i="2"/>
  <c r="E8" i="2"/>
  <c r="E33" i="2"/>
  <c r="E112" i="7"/>
  <c r="E83" i="7"/>
  <c r="E69" i="11"/>
  <c r="P14" i="11"/>
  <c r="F77" i="6"/>
  <c r="F29" i="6"/>
  <c r="F19" i="6"/>
  <c r="D68" i="11"/>
  <c r="O13" i="11"/>
  <c r="D10" i="2"/>
  <c r="D47" i="2"/>
  <c r="E61" i="6"/>
  <c r="E35" i="6"/>
  <c r="AS8" i="2"/>
  <c r="F89" i="11" s="1"/>
  <c r="AT23" i="2"/>
  <c r="AS33" i="2"/>
  <c r="AS10" i="2" s="1"/>
  <c r="F91" i="11" s="1"/>
  <c r="Q89" i="11"/>
  <c r="F23" i="2"/>
  <c r="U28" i="2"/>
  <c r="G14" i="6"/>
  <c r="G14" i="7"/>
  <c r="T33" i="2"/>
  <c r="E64" i="7"/>
  <c r="F29" i="7"/>
  <c r="F128" i="7"/>
  <c r="F80" i="7"/>
  <c r="F19" i="7"/>
  <c r="E32" i="6" l="1"/>
  <c r="E64" i="6" s="1"/>
  <c r="E68" i="6" s="1"/>
  <c r="F9" i="2"/>
  <c r="F69" i="11" s="1"/>
  <c r="E86" i="7"/>
  <c r="E118" i="7" s="1"/>
  <c r="F34" i="2"/>
  <c r="E81" i="6"/>
  <c r="E113" i="6" s="1"/>
  <c r="E110" i="6"/>
  <c r="F81" i="7"/>
  <c r="F113" i="7" s="1"/>
  <c r="E131" i="7"/>
  <c r="E163" i="7" s="1"/>
  <c r="E157" i="7"/>
  <c r="C38" i="10"/>
  <c r="C21" i="8" s="1"/>
  <c r="O34" i="11" s="1"/>
  <c r="B34" i="8"/>
  <c r="O6" i="11" s="1"/>
  <c r="E82" i="6"/>
  <c r="E114" i="6" s="1"/>
  <c r="D36" i="10" s="1"/>
  <c r="D37" i="10"/>
  <c r="G15" i="7"/>
  <c r="G81" i="7" s="1"/>
  <c r="G113" i="7" s="1"/>
  <c r="G46" i="2"/>
  <c r="E32" i="7"/>
  <c r="E67" i="7" s="1"/>
  <c r="E80" i="6"/>
  <c r="E112" i="6" s="1"/>
  <c r="G15" i="6"/>
  <c r="G78" i="6" s="1"/>
  <c r="G110" i="6" s="1"/>
  <c r="T9" i="2"/>
  <c r="G76" i="11" s="1"/>
  <c r="U29" i="2"/>
  <c r="H29" i="2" s="1"/>
  <c r="R76" i="11"/>
  <c r="Q77" i="11"/>
  <c r="E35" i="7"/>
  <c r="E70" i="7" s="1"/>
  <c r="D25" i="10" s="1"/>
  <c r="B33" i="8"/>
  <c r="O5" i="11" s="1"/>
  <c r="J116" i="12"/>
  <c r="E84" i="7"/>
  <c r="E116" i="7" s="1"/>
  <c r="E33" i="7"/>
  <c r="E68" i="7" s="1"/>
  <c r="G32" i="2"/>
  <c r="C48" i="10"/>
  <c r="G41" i="10"/>
  <c r="G22" i="8" s="1"/>
  <c r="H39" i="10"/>
  <c r="O31" i="11"/>
  <c r="J30" i="13"/>
  <c r="H56" i="10"/>
  <c r="R75" i="11"/>
  <c r="S83" i="11"/>
  <c r="D29" i="10"/>
  <c r="D18" i="8" s="1"/>
  <c r="I178" i="7"/>
  <c r="I181" i="7" s="1"/>
  <c r="H42" i="10" s="1"/>
  <c r="H180" i="7"/>
  <c r="AH9" i="2"/>
  <c r="H83" i="11" s="1"/>
  <c r="E66" i="6"/>
  <c r="D33" i="10" s="1"/>
  <c r="E34" i="7"/>
  <c r="E69" i="7" s="1"/>
  <c r="D24" i="10" s="1"/>
  <c r="E85" i="7"/>
  <c r="E117" i="7" s="1"/>
  <c r="E67" i="6"/>
  <c r="D34" i="10" s="1"/>
  <c r="AG10" i="2"/>
  <c r="G84" i="11" s="1"/>
  <c r="AI27" i="2"/>
  <c r="T83" i="11" s="1"/>
  <c r="AH32" i="2"/>
  <c r="F27" i="7"/>
  <c r="F62" i="7" s="1"/>
  <c r="F126" i="7"/>
  <c r="F133" i="7" s="1"/>
  <c r="F165" i="7" s="1"/>
  <c r="E30" i="10" s="1"/>
  <c r="C35" i="10"/>
  <c r="C20" i="8" s="1"/>
  <c r="F69" i="10"/>
  <c r="G25" i="1"/>
  <c r="AV27" i="2"/>
  <c r="AU32" i="2"/>
  <c r="F78" i="7"/>
  <c r="F85" i="7" s="1"/>
  <c r="F117" i="7" s="1"/>
  <c r="H28" i="7"/>
  <c r="H63" i="7" s="1"/>
  <c r="H127" i="7"/>
  <c r="H159" i="7" s="1"/>
  <c r="H79" i="7"/>
  <c r="H111" i="7" s="1"/>
  <c r="J172" i="7"/>
  <c r="I174" i="7"/>
  <c r="T25" i="11"/>
  <c r="AJ13" i="4"/>
  <c r="U20" i="11"/>
  <c r="K10" i="4"/>
  <c r="T21" i="11"/>
  <c r="W10" i="4"/>
  <c r="F108" i="7"/>
  <c r="E27" i="10" s="1"/>
  <c r="F82" i="7"/>
  <c r="F114" i="7" s="1"/>
  <c r="I13" i="6"/>
  <c r="W27" i="2"/>
  <c r="I13" i="7"/>
  <c r="J173" i="7"/>
  <c r="H27" i="1"/>
  <c r="I12" i="1"/>
  <c r="F60" i="7"/>
  <c r="F31" i="7"/>
  <c r="F66" i="7" s="1"/>
  <c r="H76" i="6"/>
  <c r="H108" i="6" s="1"/>
  <c r="H28" i="6"/>
  <c r="H60" i="6" s="1"/>
  <c r="I8" i="1"/>
  <c r="I9" i="1"/>
  <c r="F130" i="7"/>
  <c r="F162" i="7" s="1"/>
  <c r="F156" i="7"/>
  <c r="S24" i="11"/>
  <c r="V13" i="4"/>
  <c r="H8" i="7"/>
  <c r="H8" i="6"/>
  <c r="V22" i="2"/>
  <c r="H22" i="2"/>
  <c r="H32" i="2" s="1"/>
  <c r="U32" i="2"/>
  <c r="I10" i="1"/>
  <c r="H16" i="1"/>
  <c r="H24" i="1" s="1"/>
  <c r="H17" i="1"/>
  <c r="I18" i="1" s="1"/>
  <c r="J19" i="1" s="1"/>
  <c r="K20" i="1" s="1"/>
  <c r="G73" i="6"/>
  <c r="G25" i="6"/>
  <c r="G18" i="6"/>
  <c r="H26" i="1"/>
  <c r="I11" i="1"/>
  <c r="S22" i="11"/>
  <c r="AI10" i="4"/>
  <c r="F105" i="6"/>
  <c r="F79" i="6"/>
  <c r="F111" i="6" s="1"/>
  <c r="G25" i="7"/>
  <c r="G124" i="7"/>
  <c r="G76" i="7"/>
  <c r="G18" i="7"/>
  <c r="H20" i="1"/>
  <c r="G27" i="1"/>
  <c r="T23" i="11"/>
  <c r="J13" i="4"/>
  <c r="F57" i="6"/>
  <c r="F31" i="6"/>
  <c r="F63" i="6" s="1"/>
  <c r="G65" i="10"/>
  <c r="I39" i="13"/>
  <c r="I176" i="7"/>
  <c r="I182" i="7" s="1"/>
  <c r="H43" i="10" s="1"/>
  <c r="H177" i="7"/>
  <c r="H10" i="7"/>
  <c r="H27" i="7" s="1"/>
  <c r="H24" i="2"/>
  <c r="H10" i="6"/>
  <c r="H75" i="6" s="1"/>
  <c r="F20" i="6"/>
  <c r="D32" i="10"/>
  <c r="D19" i="8" s="1"/>
  <c r="P32" i="11" s="1"/>
  <c r="Q91" i="11"/>
  <c r="F27" i="6"/>
  <c r="F59" i="6" s="1"/>
  <c r="G24" i="2"/>
  <c r="G34" i="2" s="1"/>
  <c r="G10" i="6"/>
  <c r="G10" i="7"/>
  <c r="T34" i="2"/>
  <c r="T10" i="2" s="1"/>
  <c r="G77" i="11" s="1"/>
  <c r="V24" i="2"/>
  <c r="I10" i="6" s="1"/>
  <c r="T8" i="2"/>
  <c r="G75" i="11" s="1"/>
  <c r="F46" i="2"/>
  <c r="H10" i="8"/>
  <c r="G11" i="8"/>
  <c r="F8" i="14" s="1"/>
  <c r="I62" i="10"/>
  <c r="K36" i="13"/>
  <c r="J57" i="10"/>
  <c r="L31" i="13"/>
  <c r="K57" i="10" s="1"/>
  <c r="H64" i="10"/>
  <c r="J38" i="13"/>
  <c r="J33" i="13"/>
  <c r="H59" i="10"/>
  <c r="J29" i="13"/>
  <c r="H55" i="10"/>
  <c r="H26" i="8" s="1"/>
  <c r="K34" i="13"/>
  <c r="I60" i="10"/>
  <c r="H61" i="10"/>
  <c r="J35" i="13"/>
  <c r="G63" i="10"/>
  <c r="I37" i="13"/>
  <c r="K17" i="10"/>
  <c r="G44" i="10"/>
  <c r="G23" i="8" s="1"/>
  <c r="S35" i="11" s="1"/>
  <c r="L9" i="10"/>
  <c r="D87" i="7"/>
  <c r="D119" i="7" s="1"/>
  <c r="C49" i="10"/>
  <c r="F81" i="6"/>
  <c r="F113" i="6" s="1"/>
  <c r="F107" i="6"/>
  <c r="D113" i="6"/>
  <c r="D84" i="6"/>
  <c r="D116" i="6" s="1"/>
  <c r="Q69" i="11"/>
  <c r="D65" i="6"/>
  <c r="D68" i="6" s="1"/>
  <c r="D36" i="6"/>
  <c r="D36" i="7"/>
  <c r="D71" i="7" s="1"/>
  <c r="D164" i="7"/>
  <c r="D135" i="7"/>
  <c r="D167" i="7" s="1"/>
  <c r="O30" i="11"/>
  <c r="AH33" i="2"/>
  <c r="AH8" i="2"/>
  <c r="H82" i="11" s="1"/>
  <c r="S82" i="11"/>
  <c r="AI23" i="2"/>
  <c r="AI33" i="2" s="1"/>
  <c r="V23" i="2"/>
  <c r="U8" i="2"/>
  <c r="H75" i="11" s="1"/>
  <c r="H9" i="6"/>
  <c r="H9" i="7"/>
  <c r="S75" i="11"/>
  <c r="F157" i="7"/>
  <c r="G26" i="6"/>
  <c r="G74" i="6"/>
  <c r="R90" i="11"/>
  <c r="AU28" i="2"/>
  <c r="H28" i="2" s="1"/>
  <c r="AT9" i="2"/>
  <c r="G90" i="11" s="1"/>
  <c r="F82" i="6"/>
  <c r="F114" i="6" s="1"/>
  <c r="F106" i="6"/>
  <c r="F58" i="6"/>
  <c r="G125" i="7"/>
  <c r="G26" i="7"/>
  <c r="G77" i="7"/>
  <c r="F109" i="7"/>
  <c r="E28" i="10" s="1"/>
  <c r="F61" i="7"/>
  <c r="G29" i="7"/>
  <c r="G128" i="7"/>
  <c r="G80" i="7"/>
  <c r="G19" i="7"/>
  <c r="F83" i="6"/>
  <c r="F115" i="6" s="1"/>
  <c r="F109" i="6"/>
  <c r="F80" i="6"/>
  <c r="F134" i="7"/>
  <c r="F166" i="7" s="1"/>
  <c r="E31" i="10" s="1"/>
  <c r="F160" i="7"/>
  <c r="F131" i="7"/>
  <c r="G29" i="6"/>
  <c r="G77" i="6"/>
  <c r="G19" i="6"/>
  <c r="F45" i="2"/>
  <c r="Q68" i="11"/>
  <c r="F33" i="2"/>
  <c r="F8" i="2"/>
  <c r="F112" i="7"/>
  <c r="F83" i="7"/>
  <c r="F61" i="6"/>
  <c r="F67" i="6" s="1"/>
  <c r="F35" i="6"/>
  <c r="F32" i="6"/>
  <c r="V28" i="2"/>
  <c r="H14" i="7"/>
  <c r="H14" i="6"/>
  <c r="U33" i="2"/>
  <c r="E10" i="2"/>
  <c r="E47" i="2"/>
  <c r="O15" i="11"/>
  <c r="D70" i="11"/>
  <c r="P13" i="11"/>
  <c r="E68" i="11"/>
  <c r="E115" i="7"/>
  <c r="F35" i="7"/>
  <c r="F70" i="7" s="1"/>
  <c r="E25" i="10" s="1"/>
  <c r="F64" i="7"/>
  <c r="F32" i="7"/>
  <c r="G9" i="2"/>
  <c r="R69" i="11"/>
  <c r="R89" i="11"/>
  <c r="AT33" i="2"/>
  <c r="AT10" i="2" s="1"/>
  <c r="G91" i="11" s="1"/>
  <c r="AU23" i="2"/>
  <c r="AT8" i="2"/>
  <c r="G89" i="11" s="1"/>
  <c r="G23" i="2"/>
  <c r="E36" i="6" l="1"/>
  <c r="E87" i="7"/>
  <c r="E119" i="7" s="1"/>
  <c r="E135" i="7"/>
  <c r="E167" i="7" s="1"/>
  <c r="G30" i="6"/>
  <c r="G62" i="6" s="1"/>
  <c r="Q14" i="11"/>
  <c r="F86" i="7"/>
  <c r="F118" i="7" s="1"/>
  <c r="G129" i="7"/>
  <c r="G161" i="7" s="1"/>
  <c r="E84" i="6"/>
  <c r="E116" i="6" s="1"/>
  <c r="D38" i="10"/>
  <c r="D21" i="8" s="1"/>
  <c r="P34" i="11" s="1"/>
  <c r="E37" i="10"/>
  <c r="R77" i="11"/>
  <c r="S76" i="11"/>
  <c r="S77" i="11" s="1"/>
  <c r="U34" i="2"/>
  <c r="U10" i="2" s="1"/>
  <c r="H77" i="11" s="1"/>
  <c r="H15" i="7"/>
  <c r="H30" i="7" s="1"/>
  <c r="H65" i="7" s="1"/>
  <c r="H34" i="2"/>
  <c r="H15" i="6"/>
  <c r="H30" i="6" s="1"/>
  <c r="H62" i="6" s="1"/>
  <c r="U9" i="2"/>
  <c r="H76" i="11" s="1"/>
  <c r="V29" i="2"/>
  <c r="I29" i="2" s="1"/>
  <c r="D49" i="10"/>
  <c r="E36" i="7"/>
  <c r="E71" i="7" s="1"/>
  <c r="G30" i="7"/>
  <c r="G65" i="7" s="1"/>
  <c r="F33" i="7"/>
  <c r="F68" i="7" s="1"/>
  <c r="F34" i="7"/>
  <c r="F69" i="7" s="1"/>
  <c r="E24" i="10" s="1"/>
  <c r="E26" i="10" s="1"/>
  <c r="E17" i="8" s="1"/>
  <c r="C27" i="8"/>
  <c r="O36" i="11" s="1"/>
  <c r="B32" i="8"/>
  <c r="O4" i="11" s="1"/>
  <c r="P31" i="11"/>
  <c r="C33" i="8"/>
  <c r="P5" i="11" s="1"/>
  <c r="K116" i="12"/>
  <c r="L115" i="12"/>
  <c r="E36" i="10"/>
  <c r="F158" i="7"/>
  <c r="C50" i="10"/>
  <c r="I27" i="2"/>
  <c r="H183" i="7"/>
  <c r="H41" i="10"/>
  <c r="H22" i="8" s="1"/>
  <c r="I39" i="10"/>
  <c r="K30" i="13"/>
  <c r="I56" i="10"/>
  <c r="S84" i="11"/>
  <c r="F132" i="7"/>
  <c r="F164" i="7" s="1"/>
  <c r="J178" i="7"/>
  <c r="J181" i="7" s="1"/>
  <c r="I42" i="10" s="1"/>
  <c r="I180" i="7"/>
  <c r="AH10" i="2"/>
  <c r="H84" i="11" s="1"/>
  <c r="E29" i="10"/>
  <c r="E18" i="8" s="1"/>
  <c r="G69" i="10"/>
  <c r="D48" i="10"/>
  <c r="O33" i="11"/>
  <c r="D26" i="10"/>
  <c r="D17" i="8" s="1"/>
  <c r="AI9" i="2"/>
  <c r="I83" i="11" s="1"/>
  <c r="F110" i="7"/>
  <c r="H126" i="7"/>
  <c r="AJ28" i="2"/>
  <c r="F34" i="6"/>
  <c r="AJ27" i="2"/>
  <c r="AI32" i="2"/>
  <c r="H27" i="6"/>
  <c r="H59" i="6" s="1"/>
  <c r="F84" i="7"/>
  <c r="F116" i="7" s="1"/>
  <c r="H25" i="1"/>
  <c r="Q70" i="11"/>
  <c r="AW27" i="2"/>
  <c r="AV32" i="2"/>
  <c r="H65" i="10"/>
  <c r="J39" i="13"/>
  <c r="I21" i="1"/>
  <c r="I29" i="1" s="1"/>
  <c r="H28" i="1"/>
  <c r="J11" i="1"/>
  <c r="I26" i="1"/>
  <c r="J13" i="7"/>
  <c r="J13" i="6"/>
  <c r="X27" i="2"/>
  <c r="U25" i="11"/>
  <c r="AK13" i="4"/>
  <c r="J12" i="1"/>
  <c r="I27" i="1"/>
  <c r="I76" i="6"/>
  <c r="I108" i="6" s="1"/>
  <c r="I28" i="6"/>
  <c r="I60" i="6" s="1"/>
  <c r="G108" i="7"/>
  <c r="F27" i="10" s="1"/>
  <c r="G82" i="7"/>
  <c r="G114" i="7" s="1"/>
  <c r="I28" i="1"/>
  <c r="J13" i="1"/>
  <c r="J29" i="1" s="1"/>
  <c r="G130" i="7"/>
  <c r="G162" i="7" s="1"/>
  <c r="G156" i="7"/>
  <c r="J10" i="1"/>
  <c r="K172" i="7"/>
  <c r="J174" i="7"/>
  <c r="G31" i="7"/>
  <c r="G66" i="7" s="1"/>
  <c r="G60" i="7"/>
  <c r="G57" i="6"/>
  <c r="G31" i="6"/>
  <c r="G63" i="6" s="1"/>
  <c r="I8" i="6"/>
  <c r="W22" i="2"/>
  <c r="I8" i="7"/>
  <c r="I22" i="2"/>
  <c r="V32" i="2"/>
  <c r="K173" i="7"/>
  <c r="U21" i="11"/>
  <c r="X10" i="4"/>
  <c r="U23" i="11"/>
  <c r="K13" i="4"/>
  <c r="G79" i="6"/>
  <c r="G111" i="6" s="1"/>
  <c r="G105" i="6"/>
  <c r="H73" i="6"/>
  <c r="H25" i="6"/>
  <c r="H18" i="6"/>
  <c r="J8" i="1"/>
  <c r="J9" i="1"/>
  <c r="H25" i="7"/>
  <c r="H124" i="7"/>
  <c r="H76" i="7"/>
  <c r="H18" i="7"/>
  <c r="V20" i="11"/>
  <c r="L10" i="4"/>
  <c r="W20" i="11" s="1"/>
  <c r="J176" i="7"/>
  <c r="J182" i="7" s="1"/>
  <c r="I43" i="10" s="1"/>
  <c r="I177" i="7"/>
  <c r="T22" i="11"/>
  <c r="AJ10" i="4"/>
  <c r="I16" i="1"/>
  <c r="I17" i="1"/>
  <c r="J18" i="1" s="1"/>
  <c r="K19" i="1" s="1"/>
  <c r="T24" i="11"/>
  <c r="W13" i="4"/>
  <c r="I127" i="7"/>
  <c r="I159" i="7" s="1"/>
  <c r="I28" i="7"/>
  <c r="I63" i="7" s="1"/>
  <c r="I79" i="7"/>
  <c r="I111" i="7" s="1"/>
  <c r="H78" i="7"/>
  <c r="H110" i="7" s="1"/>
  <c r="F66" i="6"/>
  <c r="E33" i="10" s="1"/>
  <c r="W24" i="2"/>
  <c r="J10" i="6" s="1"/>
  <c r="I24" i="2"/>
  <c r="F33" i="6"/>
  <c r="F65" i="6" s="1"/>
  <c r="I10" i="7"/>
  <c r="I126" i="7" s="1"/>
  <c r="G126" i="7"/>
  <c r="G133" i="7" s="1"/>
  <c r="G165" i="7" s="1"/>
  <c r="F30" i="10" s="1"/>
  <c r="G27" i="7"/>
  <c r="G34" i="7" s="1"/>
  <c r="G69" i="7" s="1"/>
  <c r="F24" i="10" s="1"/>
  <c r="G20" i="7"/>
  <c r="G78" i="7"/>
  <c r="G27" i="6"/>
  <c r="G34" i="6" s="1"/>
  <c r="G20" i="6"/>
  <c r="G75" i="6"/>
  <c r="G82" i="6" s="1"/>
  <c r="G114" i="6" s="1"/>
  <c r="I10" i="8"/>
  <c r="H11" i="8"/>
  <c r="G8" i="14" s="1"/>
  <c r="J62" i="10"/>
  <c r="L36" i="13"/>
  <c r="K62" i="10" s="1"/>
  <c r="K35" i="13"/>
  <c r="I61" i="10"/>
  <c r="L34" i="13"/>
  <c r="K60" i="10" s="1"/>
  <c r="J60" i="10"/>
  <c r="K33" i="13"/>
  <c r="I59" i="10"/>
  <c r="K38" i="13"/>
  <c r="I64" i="10"/>
  <c r="K29" i="13"/>
  <c r="I55" i="10"/>
  <c r="I26" i="8" s="1"/>
  <c r="J37" i="13"/>
  <c r="H63" i="10"/>
  <c r="D35" i="10"/>
  <c r="D20" i="8" s="1"/>
  <c r="E34" i="10"/>
  <c r="M9" i="10"/>
  <c r="L17" i="10"/>
  <c r="H44" i="10"/>
  <c r="H23" i="8" s="1"/>
  <c r="T35" i="11" s="1"/>
  <c r="R91" i="11"/>
  <c r="AJ23" i="2"/>
  <c r="AI8" i="2"/>
  <c r="I82" i="11" s="1"/>
  <c r="T82" i="11"/>
  <c r="T84" i="11" s="1"/>
  <c r="H62" i="7"/>
  <c r="I75" i="6"/>
  <c r="I27" i="6"/>
  <c r="H107" i="6"/>
  <c r="G106" i="6"/>
  <c r="H26" i="6"/>
  <c r="H74" i="6"/>
  <c r="W23" i="2"/>
  <c r="I9" i="6"/>
  <c r="T75" i="11"/>
  <c r="I9" i="7"/>
  <c r="V8" i="2"/>
  <c r="I75" i="11" s="1"/>
  <c r="E32" i="10"/>
  <c r="E19" i="8" s="1"/>
  <c r="Q32" i="11" s="1"/>
  <c r="G109" i="7"/>
  <c r="F28" i="10" s="1"/>
  <c r="G157" i="7"/>
  <c r="H125" i="7"/>
  <c r="H77" i="7"/>
  <c r="H26" i="7"/>
  <c r="G58" i="6"/>
  <c r="G61" i="7"/>
  <c r="AV28" i="2"/>
  <c r="I28" i="2" s="1"/>
  <c r="S90" i="11"/>
  <c r="AU9" i="2"/>
  <c r="H90" i="11" s="1"/>
  <c r="F64" i="6"/>
  <c r="F84" i="6"/>
  <c r="F116" i="6" s="1"/>
  <c r="F112" i="6"/>
  <c r="G64" i="7"/>
  <c r="G32" i="7"/>
  <c r="P15" i="11"/>
  <c r="E70" i="11"/>
  <c r="G69" i="11"/>
  <c r="R14" i="11"/>
  <c r="F67" i="7"/>
  <c r="G61" i="6"/>
  <c r="G32" i="6"/>
  <c r="G112" i="7"/>
  <c r="G86" i="7"/>
  <c r="G118" i="7" s="1"/>
  <c r="G83" i="7"/>
  <c r="H9" i="2"/>
  <c r="S69" i="11"/>
  <c r="F163" i="7"/>
  <c r="H77" i="6"/>
  <c r="H29" i="6"/>
  <c r="H19" i="6"/>
  <c r="H29" i="7"/>
  <c r="H128" i="7"/>
  <c r="H80" i="7"/>
  <c r="H19" i="7"/>
  <c r="F115" i="7"/>
  <c r="G33" i="2"/>
  <c r="R68" i="11"/>
  <c r="R70" i="11" s="1"/>
  <c r="G8" i="2"/>
  <c r="G45" i="2"/>
  <c r="W28" i="2"/>
  <c r="I14" i="7"/>
  <c r="I14" i="6"/>
  <c r="V33" i="2"/>
  <c r="F68" i="11"/>
  <c r="Q13" i="11"/>
  <c r="F10" i="2"/>
  <c r="F47" i="2"/>
  <c r="G83" i="6"/>
  <c r="G115" i="6" s="1"/>
  <c r="G109" i="6"/>
  <c r="G80" i="6"/>
  <c r="AV23" i="2"/>
  <c r="AU33" i="2"/>
  <c r="AU10" i="2" s="1"/>
  <c r="H91" i="11" s="1"/>
  <c r="AU8" i="2"/>
  <c r="H89" i="11" s="1"/>
  <c r="S89" i="11"/>
  <c r="H23" i="2"/>
  <c r="H46" i="2"/>
  <c r="G134" i="7"/>
  <c r="G166" i="7" s="1"/>
  <c r="F31" i="10" s="1"/>
  <c r="G160" i="7"/>
  <c r="G131" i="7"/>
  <c r="G67" i="6" l="1"/>
  <c r="F34" i="10" s="1"/>
  <c r="H20" i="7"/>
  <c r="H81" i="7"/>
  <c r="H113" i="7" s="1"/>
  <c r="I46" i="2"/>
  <c r="G35" i="6"/>
  <c r="I15" i="6"/>
  <c r="I78" i="6" s="1"/>
  <c r="I110" i="6" s="1"/>
  <c r="F37" i="10"/>
  <c r="V34" i="2"/>
  <c r="V10" i="2" s="1"/>
  <c r="I77" i="11" s="1"/>
  <c r="H33" i="7"/>
  <c r="H68" i="7" s="1"/>
  <c r="E49" i="10"/>
  <c r="H129" i="7"/>
  <c r="H161" i="7" s="1"/>
  <c r="E38" i="10"/>
  <c r="E21" i="8" s="1"/>
  <c r="Q34" i="11" s="1"/>
  <c r="C32" i="8"/>
  <c r="P4" i="11" s="1"/>
  <c r="H20" i="6"/>
  <c r="I34" i="2"/>
  <c r="V9" i="2"/>
  <c r="I76" i="11" s="1"/>
  <c r="F135" i="7"/>
  <c r="F167" i="7" s="1"/>
  <c r="B35" i="8"/>
  <c r="B9" i="14" s="1"/>
  <c r="B18" i="14" s="1"/>
  <c r="O8" i="11" s="1"/>
  <c r="D50" i="10"/>
  <c r="D34" i="8"/>
  <c r="Q6" i="11" s="1"/>
  <c r="X24" i="2"/>
  <c r="K10" i="7" s="1"/>
  <c r="F36" i="10"/>
  <c r="H78" i="6"/>
  <c r="G35" i="7"/>
  <c r="G70" i="7" s="1"/>
  <c r="F25" i="10" s="1"/>
  <c r="F26" i="10" s="1"/>
  <c r="F17" i="8" s="1"/>
  <c r="T76" i="11"/>
  <c r="T77" i="11" s="1"/>
  <c r="W29" i="2"/>
  <c r="J15" i="7" s="1"/>
  <c r="F36" i="7"/>
  <c r="F71" i="7" s="1"/>
  <c r="I15" i="7"/>
  <c r="I129" i="7" s="1"/>
  <c r="I161" i="7" s="1"/>
  <c r="H33" i="6"/>
  <c r="H65" i="6" s="1"/>
  <c r="P30" i="11"/>
  <c r="C34" i="8"/>
  <c r="P6" i="11" s="1"/>
  <c r="Q31" i="11"/>
  <c r="D33" i="8"/>
  <c r="Q5" i="11" s="1"/>
  <c r="E48" i="10"/>
  <c r="I183" i="7"/>
  <c r="I32" i="2"/>
  <c r="J39" i="10"/>
  <c r="I41" i="10"/>
  <c r="I22" i="8" s="1"/>
  <c r="L30" i="13"/>
  <c r="K56" i="10" s="1"/>
  <c r="J56" i="10"/>
  <c r="F29" i="10"/>
  <c r="F18" i="8" s="1"/>
  <c r="D27" i="8"/>
  <c r="P36" i="11" s="1"/>
  <c r="K178" i="7"/>
  <c r="J180" i="7"/>
  <c r="F36" i="6"/>
  <c r="F68" i="6"/>
  <c r="AK28" i="2"/>
  <c r="AI10" i="2"/>
  <c r="I84" i="11" s="1"/>
  <c r="U83" i="11"/>
  <c r="AJ33" i="2"/>
  <c r="F87" i="7"/>
  <c r="F119" i="7" s="1"/>
  <c r="H158" i="7"/>
  <c r="H69" i="10"/>
  <c r="S91" i="11"/>
  <c r="AK27" i="2"/>
  <c r="AJ32" i="2"/>
  <c r="J27" i="2"/>
  <c r="AJ9" i="2"/>
  <c r="J83" i="11" s="1"/>
  <c r="AX27" i="2"/>
  <c r="AW32" i="2"/>
  <c r="J10" i="7"/>
  <c r="I27" i="7"/>
  <c r="I62" i="7" s="1"/>
  <c r="J24" i="2"/>
  <c r="J17" i="1"/>
  <c r="K18" i="1" s="1"/>
  <c r="J16" i="1"/>
  <c r="J24" i="1" s="1"/>
  <c r="H108" i="7"/>
  <c r="G27" i="10" s="1"/>
  <c r="H82" i="7"/>
  <c r="H114" i="7" s="1"/>
  <c r="H79" i="6"/>
  <c r="H111" i="6" s="1"/>
  <c r="H105" i="6"/>
  <c r="J76" i="6"/>
  <c r="J108" i="6" s="1"/>
  <c r="J28" i="6"/>
  <c r="J60" i="6" s="1"/>
  <c r="U22" i="11"/>
  <c r="AK10" i="4"/>
  <c r="H156" i="7"/>
  <c r="H130" i="7"/>
  <c r="H162" i="7" s="1"/>
  <c r="J28" i="7"/>
  <c r="J63" i="7" s="1"/>
  <c r="J127" i="7"/>
  <c r="J159" i="7" s="1"/>
  <c r="J79" i="7"/>
  <c r="J111" i="7" s="1"/>
  <c r="I44" i="10"/>
  <c r="I23" i="8" s="1"/>
  <c r="U35" i="11" s="1"/>
  <c r="H60" i="7"/>
  <c r="H31" i="7"/>
  <c r="H66" i="7" s="1"/>
  <c r="I24" i="1"/>
  <c r="V23" i="11"/>
  <c r="L13" i="4"/>
  <c r="W23" i="11" s="1"/>
  <c r="I25" i="7"/>
  <c r="I124" i="7"/>
  <c r="I76" i="7"/>
  <c r="I18" i="7"/>
  <c r="J28" i="1"/>
  <c r="K13" i="1"/>
  <c r="K29" i="1" s="1"/>
  <c r="K12" i="1"/>
  <c r="K28" i="1" s="1"/>
  <c r="J27" i="1"/>
  <c r="K176" i="7"/>
  <c r="J177" i="7"/>
  <c r="J183" i="7" s="1"/>
  <c r="K10" i="1"/>
  <c r="J25" i="1"/>
  <c r="J8" i="6"/>
  <c r="X22" i="2"/>
  <c r="J8" i="7"/>
  <c r="W32" i="2"/>
  <c r="J22" i="2"/>
  <c r="V25" i="11"/>
  <c r="AL13" i="4"/>
  <c r="W25" i="11" s="1"/>
  <c r="X13" i="4"/>
  <c r="U24" i="11"/>
  <c r="K8" i="1"/>
  <c r="K9" i="1"/>
  <c r="V21" i="11"/>
  <c r="Y10" i="4"/>
  <c r="W21" i="11" s="1"/>
  <c r="I25" i="6"/>
  <c r="I73" i="6"/>
  <c r="I18" i="6"/>
  <c r="K181" i="7"/>
  <c r="J42" i="10" s="1"/>
  <c r="L172" i="7"/>
  <c r="K174" i="7"/>
  <c r="I25" i="1"/>
  <c r="I65" i="10"/>
  <c r="K39" i="13"/>
  <c r="H57" i="6"/>
  <c r="H31" i="6"/>
  <c r="H63" i="6" s="1"/>
  <c r="L173" i="7"/>
  <c r="J26" i="1"/>
  <c r="K11" i="1"/>
  <c r="K27" i="1" s="1"/>
  <c r="Y27" i="2"/>
  <c r="K13" i="7"/>
  <c r="K13" i="6"/>
  <c r="G158" i="7"/>
  <c r="G132" i="7"/>
  <c r="G164" i="7" s="1"/>
  <c r="P33" i="11"/>
  <c r="I78" i="7"/>
  <c r="G81" i="6"/>
  <c r="G113" i="6" s="1"/>
  <c r="G107" i="6"/>
  <c r="G33" i="6"/>
  <c r="G65" i="6" s="1"/>
  <c r="G59" i="6"/>
  <c r="G66" i="6" s="1"/>
  <c r="F33" i="10" s="1"/>
  <c r="G110" i="7"/>
  <c r="G84" i="7"/>
  <c r="G116" i="7" s="1"/>
  <c r="G85" i="7"/>
  <c r="G117" i="7" s="1"/>
  <c r="G33" i="7"/>
  <c r="G68" i="7" s="1"/>
  <c r="G62" i="7"/>
  <c r="J10" i="8"/>
  <c r="I11" i="8"/>
  <c r="H8" i="14" s="1"/>
  <c r="J61" i="10"/>
  <c r="L35" i="13"/>
  <c r="K61" i="10" s="1"/>
  <c r="L33" i="13"/>
  <c r="K59" i="10" s="1"/>
  <c r="J59" i="10"/>
  <c r="J55" i="10"/>
  <c r="J26" i="8" s="1"/>
  <c r="L29" i="13"/>
  <c r="K55" i="10" s="1"/>
  <c r="K26" i="8" s="1"/>
  <c r="J64" i="10"/>
  <c r="L38" i="13"/>
  <c r="K64" i="10" s="1"/>
  <c r="I63" i="10"/>
  <c r="K37" i="13"/>
  <c r="E35" i="10"/>
  <c r="E20" i="8" s="1"/>
  <c r="N9" i="10"/>
  <c r="M17" i="10"/>
  <c r="I107" i="6"/>
  <c r="AJ8" i="2"/>
  <c r="J82" i="11" s="1"/>
  <c r="AK23" i="2"/>
  <c r="U82" i="11"/>
  <c r="I158" i="7"/>
  <c r="J27" i="6"/>
  <c r="J75" i="6"/>
  <c r="I59" i="6"/>
  <c r="J9" i="6"/>
  <c r="W8" i="2"/>
  <c r="J75" i="11" s="1"/>
  <c r="J9" i="7"/>
  <c r="X23" i="2"/>
  <c r="U75" i="11"/>
  <c r="H34" i="6"/>
  <c r="H58" i="6"/>
  <c r="H34" i="7"/>
  <c r="H69" i="7" s="1"/>
  <c r="G24" i="10" s="1"/>
  <c r="H61" i="7"/>
  <c r="H85" i="7"/>
  <c r="H117" i="7" s="1"/>
  <c r="H109" i="7"/>
  <c r="G28" i="10" s="1"/>
  <c r="I77" i="7"/>
  <c r="I26" i="7"/>
  <c r="I125" i="7"/>
  <c r="T90" i="11"/>
  <c r="AW28" i="2"/>
  <c r="J28" i="2" s="1"/>
  <c r="AV9" i="2"/>
  <c r="I90" i="11" s="1"/>
  <c r="H133" i="7"/>
  <c r="H165" i="7" s="1"/>
  <c r="G30" i="10" s="1"/>
  <c r="H157" i="7"/>
  <c r="H82" i="6"/>
  <c r="H114" i="6" s="1"/>
  <c r="H106" i="6"/>
  <c r="F32" i="10"/>
  <c r="F19" i="8" s="1"/>
  <c r="R32" i="11" s="1"/>
  <c r="I74" i="6"/>
  <c r="I26" i="6"/>
  <c r="H8" i="2"/>
  <c r="H33" i="2"/>
  <c r="S68" i="11"/>
  <c r="S70" i="11" s="1"/>
  <c r="H45" i="2"/>
  <c r="Q15" i="11"/>
  <c r="F70" i="11"/>
  <c r="H61" i="6"/>
  <c r="H67" i="6" s="1"/>
  <c r="H35" i="6"/>
  <c r="H32" i="6"/>
  <c r="H69" i="11"/>
  <c r="S14" i="11"/>
  <c r="Q30" i="11"/>
  <c r="I29" i="6"/>
  <c r="I77" i="6"/>
  <c r="I19" i="6"/>
  <c r="H112" i="7"/>
  <c r="H86" i="7"/>
  <c r="H118" i="7" s="1"/>
  <c r="H83" i="7"/>
  <c r="H109" i="6"/>
  <c r="H80" i="6"/>
  <c r="G163" i="7"/>
  <c r="I29" i="7"/>
  <c r="I128" i="7"/>
  <c r="I80" i="7"/>
  <c r="I19" i="7"/>
  <c r="H160" i="7"/>
  <c r="H131" i="7"/>
  <c r="G64" i="6"/>
  <c r="X28" i="2"/>
  <c r="J14" i="7"/>
  <c r="J14" i="6"/>
  <c r="W33" i="2"/>
  <c r="H35" i="7"/>
  <c r="H70" i="7" s="1"/>
  <c r="G25" i="10" s="1"/>
  <c r="H64" i="7"/>
  <c r="H32" i="7"/>
  <c r="AW23" i="2"/>
  <c r="AV33" i="2"/>
  <c r="AV10" i="2" s="1"/>
  <c r="I91" i="11" s="1"/>
  <c r="T89" i="11"/>
  <c r="AV8" i="2"/>
  <c r="I89" i="11" s="1"/>
  <c r="I23" i="2"/>
  <c r="G112" i="6"/>
  <c r="G68" i="11"/>
  <c r="R13" i="11"/>
  <c r="G115" i="7"/>
  <c r="G67" i="7"/>
  <c r="T69" i="11"/>
  <c r="I9" i="2"/>
  <c r="G10" i="2"/>
  <c r="G47" i="2"/>
  <c r="Y24" i="2" l="1"/>
  <c r="L24" i="2" s="1"/>
  <c r="K24" i="2"/>
  <c r="H84" i="7"/>
  <c r="H116" i="7" s="1"/>
  <c r="AJ10" i="2"/>
  <c r="J84" i="11" s="1"/>
  <c r="F38" i="10"/>
  <c r="F21" i="8" s="1"/>
  <c r="R34" i="11" s="1"/>
  <c r="I20" i="6"/>
  <c r="I81" i="6"/>
  <c r="I113" i="6" s="1"/>
  <c r="I30" i="6"/>
  <c r="I62" i="6" s="1"/>
  <c r="I20" i="7"/>
  <c r="E34" i="8"/>
  <c r="R6" i="11" s="1"/>
  <c r="H132" i="7"/>
  <c r="H164" i="7" s="1"/>
  <c r="H134" i="7"/>
  <c r="H166" i="7" s="1"/>
  <c r="G31" i="10" s="1"/>
  <c r="G32" i="10" s="1"/>
  <c r="G19" i="8" s="1"/>
  <c r="S32" i="11" s="1"/>
  <c r="E50" i="10"/>
  <c r="K10" i="6"/>
  <c r="K75" i="6" s="1"/>
  <c r="B11" i="14"/>
  <c r="B20" i="14" s="1"/>
  <c r="B12" i="14"/>
  <c r="B21" i="14" s="1"/>
  <c r="B10" i="14"/>
  <c r="B19" i="14" s="1"/>
  <c r="O7" i="11"/>
  <c r="C35" i="8"/>
  <c r="C11" i="14" s="1"/>
  <c r="C20" i="14" s="1"/>
  <c r="G36" i="10"/>
  <c r="F49" i="10"/>
  <c r="X29" i="2"/>
  <c r="V76" i="11" s="1"/>
  <c r="H110" i="6"/>
  <c r="H81" i="6"/>
  <c r="H113" i="6" s="1"/>
  <c r="U76" i="11"/>
  <c r="U77" i="11" s="1"/>
  <c r="H83" i="6"/>
  <c r="H115" i="6" s="1"/>
  <c r="G37" i="10" s="1"/>
  <c r="W9" i="2"/>
  <c r="J76" i="11" s="1"/>
  <c r="J129" i="7"/>
  <c r="J161" i="7" s="1"/>
  <c r="J81" i="7"/>
  <c r="J113" i="7" s="1"/>
  <c r="W34" i="2"/>
  <c r="W10" i="2" s="1"/>
  <c r="J77" i="11" s="1"/>
  <c r="I30" i="7"/>
  <c r="I65" i="7" s="1"/>
  <c r="I81" i="7"/>
  <c r="I113" i="7" s="1"/>
  <c r="J29" i="2"/>
  <c r="J34" i="2" s="1"/>
  <c r="J15" i="6"/>
  <c r="J20" i="7"/>
  <c r="I132" i="7"/>
  <c r="I164" i="7" s="1"/>
  <c r="J30" i="7"/>
  <c r="J65" i="7" s="1"/>
  <c r="J126" i="7"/>
  <c r="G84" i="6"/>
  <c r="G116" i="6" s="1"/>
  <c r="R31" i="11"/>
  <c r="E33" i="8"/>
  <c r="R5" i="11" s="1"/>
  <c r="J78" i="7"/>
  <c r="E27" i="8"/>
  <c r="Q36" i="11" s="1"/>
  <c r="D32" i="8"/>
  <c r="Q4" i="11" s="1"/>
  <c r="G135" i="7"/>
  <c r="G167" i="7" s="1"/>
  <c r="K39" i="10"/>
  <c r="K41" i="10" s="1"/>
  <c r="K22" i="8" s="1"/>
  <c r="J41" i="10"/>
  <c r="J22" i="8" s="1"/>
  <c r="G36" i="7"/>
  <c r="G71" i="7" s="1"/>
  <c r="I110" i="7"/>
  <c r="J27" i="7"/>
  <c r="J62" i="7" s="1"/>
  <c r="V83" i="11"/>
  <c r="U84" i="11"/>
  <c r="G68" i="6"/>
  <c r="K27" i="2"/>
  <c r="AK9" i="2"/>
  <c r="K83" i="11" s="1"/>
  <c r="AL28" i="2"/>
  <c r="L178" i="7"/>
  <c r="L180" i="7" s="1"/>
  <c r="K180" i="7"/>
  <c r="G36" i="6"/>
  <c r="G29" i="10"/>
  <c r="G18" i="8" s="1"/>
  <c r="G34" i="10"/>
  <c r="J32" i="2"/>
  <c r="H66" i="6"/>
  <c r="G33" i="10" s="1"/>
  <c r="K26" i="1"/>
  <c r="AL27" i="2"/>
  <c r="AL32" i="2" s="1"/>
  <c r="AK32" i="2"/>
  <c r="AY27" i="2"/>
  <c r="AY32" i="2" s="1"/>
  <c r="AX32" i="2"/>
  <c r="F35" i="10"/>
  <c r="F20" i="8" s="1"/>
  <c r="F48" i="10"/>
  <c r="I108" i="7"/>
  <c r="H27" i="10" s="1"/>
  <c r="I82" i="7"/>
  <c r="I114" i="7" s="1"/>
  <c r="L176" i="7"/>
  <c r="L177" i="7" s="1"/>
  <c r="K177" i="7"/>
  <c r="K183" i="7" s="1"/>
  <c r="I156" i="7"/>
  <c r="I130" i="7"/>
  <c r="I162" i="7" s="1"/>
  <c r="I69" i="10"/>
  <c r="I60" i="7"/>
  <c r="I31" i="7"/>
  <c r="I66" i="7" s="1"/>
  <c r="K182" i="7"/>
  <c r="J43" i="10" s="1"/>
  <c r="J44" i="10" s="1"/>
  <c r="J23" i="8" s="1"/>
  <c r="V35" i="11" s="1"/>
  <c r="L181" i="7"/>
  <c r="K42" i="10" s="1"/>
  <c r="L174" i="7"/>
  <c r="J124" i="7"/>
  <c r="J25" i="7"/>
  <c r="J76" i="7"/>
  <c r="J18" i="7"/>
  <c r="K8" i="7"/>
  <c r="K8" i="6"/>
  <c r="Y22" i="2"/>
  <c r="K22" i="2"/>
  <c r="X32" i="2"/>
  <c r="G87" i="7"/>
  <c r="G119" i="7" s="1"/>
  <c r="K28" i="6"/>
  <c r="K60" i="6" s="1"/>
  <c r="K76" i="6"/>
  <c r="K108" i="6" s="1"/>
  <c r="J25" i="6"/>
  <c r="J73" i="6"/>
  <c r="J18" i="6"/>
  <c r="K28" i="7"/>
  <c r="K63" i="7" s="1"/>
  <c r="K127" i="7"/>
  <c r="K159" i="7" s="1"/>
  <c r="K79" i="7"/>
  <c r="K111" i="7" s="1"/>
  <c r="I105" i="6"/>
  <c r="I79" i="6"/>
  <c r="I111" i="6" s="1"/>
  <c r="V24" i="11"/>
  <c r="Y13" i="4"/>
  <c r="W24" i="11" s="1"/>
  <c r="AL10" i="4"/>
  <c r="W22" i="11" s="1"/>
  <c r="V22" i="11"/>
  <c r="K16" i="1"/>
  <c r="K24" i="1" s="1"/>
  <c r="K17" i="1"/>
  <c r="K25" i="1" s="1"/>
  <c r="L13" i="6"/>
  <c r="L13" i="7"/>
  <c r="L39" i="13"/>
  <c r="K65" i="10" s="1"/>
  <c r="J65" i="10"/>
  <c r="I57" i="6"/>
  <c r="I31" i="6"/>
  <c r="I63" i="6" s="1"/>
  <c r="J11" i="8"/>
  <c r="I8" i="14" s="1"/>
  <c r="K10" i="8"/>
  <c r="K11" i="8" s="1"/>
  <c r="J8" i="14" s="1"/>
  <c r="J63" i="10"/>
  <c r="L37" i="13"/>
  <c r="K63" i="10" s="1"/>
  <c r="Q33" i="11"/>
  <c r="N17" i="10"/>
  <c r="T91" i="11"/>
  <c r="J107" i="6"/>
  <c r="L10" i="6"/>
  <c r="L10" i="7"/>
  <c r="J59" i="6"/>
  <c r="K27" i="7"/>
  <c r="K126" i="7"/>
  <c r="K78" i="7"/>
  <c r="AK33" i="2"/>
  <c r="AL23" i="2"/>
  <c r="V82" i="11"/>
  <c r="AK8" i="2"/>
  <c r="K82" i="11" s="1"/>
  <c r="I34" i="7"/>
  <c r="I69" i="7" s="1"/>
  <c r="H24" i="10" s="1"/>
  <c r="I61" i="7"/>
  <c r="Y23" i="2"/>
  <c r="K9" i="7"/>
  <c r="V75" i="11"/>
  <c r="K9" i="6"/>
  <c r="X8" i="2"/>
  <c r="K75" i="11" s="1"/>
  <c r="J26" i="6"/>
  <c r="J74" i="6"/>
  <c r="I133" i="7"/>
  <c r="I165" i="7" s="1"/>
  <c r="H30" i="10" s="1"/>
  <c r="I157" i="7"/>
  <c r="I109" i="7"/>
  <c r="H28" i="10" s="1"/>
  <c r="I85" i="7"/>
  <c r="I117" i="7" s="1"/>
  <c r="I34" i="6"/>
  <c r="I58" i="6"/>
  <c r="U90" i="11"/>
  <c r="AX28" i="2"/>
  <c r="K28" i="2" s="1"/>
  <c r="AW9" i="2"/>
  <c r="J90" i="11" s="1"/>
  <c r="J77" i="7"/>
  <c r="J26" i="7"/>
  <c r="J125" i="7"/>
  <c r="I106" i="6"/>
  <c r="I82" i="6"/>
  <c r="I114" i="6" s="1"/>
  <c r="I134" i="7"/>
  <c r="I166" i="7" s="1"/>
  <c r="H31" i="10" s="1"/>
  <c r="I160" i="7"/>
  <c r="I131" i="7"/>
  <c r="I83" i="6"/>
  <c r="I115" i="6" s="1"/>
  <c r="I109" i="6"/>
  <c r="I80" i="6"/>
  <c r="H112" i="6"/>
  <c r="G70" i="11"/>
  <c r="R15" i="11"/>
  <c r="I61" i="6"/>
  <c r="I32" i="6"/>
  <c r="I69" i="11"/>
  <c r="T14" i="11"/>
  <c r="AX23" i="2"/>
  <c r="U89" i="11"/>
  <c r="AW33" i="2"/>
  <c r="AW10" i="2" s="1"/>
  <c r="J91" i="11" s="1"/>
  <c r="AW8" i="2"/>
  <c r="J89" i="11" s="1"/>
  <c r="J23" i="2"/>
  <c r="R30" i="11"/>
  <c r="H64" i="6"/>
  <c r="H68" i="6" s="1"/>
  <c r="H36" i="6"/>
  <c r="H10" i="2"/>
  <c r="H47" i="2"/>
  <c r="H67" i="7"/>
  <c r="H36" i="7"/>
  <c r="H71" i="7" s="1"/>
  <c r="J77" i="6"/>
  <c r="J29" i="6"/>
  <c r="J19" i="6"/>
  <c r="I112" i="7"/>
  <c r="I83" i="7"/>
  <c r="H115" i="7"/>
  <c r="H68" i="11"/>
  <c r="S13" i="11"/>
  <c r="J29" i="7"/>
  <c r="J128" i="7"/>
  <c r="J80" i="7"/>
  <c r="J19" i="7"/>
  <c r="G26" i="10"/>
  <c r="G17" i="8" s="1"/>
  <c r="Y28" i="2"/>
  <c r="K14" i="7"/>
  <c r="K14" i="6"/>
  <c r="X33" i="2"/>
  <c r="H163" i="7"/>
  <c r="I64" i="7"/>
  <c r="I32" i="7"/>
  <c r="I8" i="2"/>
  <c r="T68" i="11"/>
  <c r="T70" i="11" s="1"/>
  <c r="I33" i="2"/>
  <c r="I45" i="2"/>
  <c r="I35" i="6" l="1"/>
  <c r="J9" i="2"/>
  <c r="J69" i="11" s="1"/>
  <c r="K15" i="7"/>
  <c r="K30" i="7" s="1"/>
  <c r="K65" i="7" s="1"/>
  <c r="X34" i="2"/>
  <c r="X10" i="2" s="1"/>
  <c r="K77" i="11" s="1"/>
  <c r="H87" i="7"/>
  <c r="H119" i="7" s="1"/>
  <c r="C10" i="14"/>
  <c r="C19" i="14" s="1"/>
  <c r="K27" i="6"/>
  <c r="K59" i="6" s="1"/>
  <c r="J84" i="7"/>
  <c r="J116" i="7" s="1"/>
  <c r="C9" i="14"/>
  <c r="C18" i="14" s="1"/>
  <c r="P8" i="11" s="1"/>
  <c r="I67" i="6"/>
  <c r="H34" i="10" s="1"/>
  <c r="Y29" i="2"/>
  <c r="L29" i="2" s="1"/>
  <c r="L34" i="2" s="1"/>
  <c r="I33" i="6"/>
  <c r="I65" i="6" s="1"/>
  <c r="H135" i="7"/>
  <c r="H167" i="7" s="1"/>
  <c r="H36" i="10"/>
  <c r="G48" i="10"/>
  <c r="H84" i="6"/>
  <c r="H116" i="6" s="1"/>
  <c r="C12" i="14"/>
  <c r="C21" i="14" s="1"/>
  <c r="J46" i="2"/>
  <c r="K20" i="7"/>
  <c r="G38" i="10"/>
  <c r="G21" i="8" s="1"/>
  <c r="S34" i="11" s="1"/>
  <c r="U69" i="11"/>
  <c r="F50" i="10"/>
  <c r="J132" i="7"/>
  <c r="J164" i="7" s="1"/>
  <c r="K81" i="7"/>
  <c r="K113" i="7" s="1"/>
  <c r="V84" i="11"/>
  <c r="X9" i="2"/>
  <c r="K76" i="11" s="1"/>
  <c r="P7" i="11"/>
  <c r="I86" i="7"/>
  <c r="I118" i="7" s="1"/>
  <c r="H37" i="10"/>
  <c r="L15" i="7"/>
  <c r="L81" i="7" s="1"/>
  <c r="L113" i="7" s="1"/>
  <c r="K29" i="2"/>
  <c r="K34" i="2" s="1"/>
  <c r="K15" i="6"/>
  <c r="G49" i="10"/>
  <c r="L15" i="6"/>
  <c r="L20" i="6" s="1"/>
  <c r="I35" i="7"/>
  <c r="I70" i="7" s="1"/>
  <c r="H25" i="10" s="1"/>
  <c r="H26" i="10" s="1"/>
  <c r="H17" i="8" s="1"/>
  <c r="I84" i="7"/>
  <c r="I116" i="7" s="1"/>
  <c r="J110" i="7"/>
  <c r="I33" i="7"/>
  <c r="I68" i="7" s="1"/>
  <c r="J158" i="7"/>
  <c r="J30" i="6"/>
  <c r="J35" i="6" s="1"/>
  <c r="J20" i="6"/>
  <c r="J78" i="6"/>
  <c r="J83" i="6" s="1"/>
  <c r="J115" i="6" s="1"/>
  <c r="J33" i="7"/>
  <c r="J68" i="7" s="1"/>
  <c r="S31" i="11"/>
  <c r="F33" i="8"/>
  <c r="S5" i="11" s="1"/>
  <c r="F34" i="8"/>
  <c r="S6" i="11" s="1"/>
  <c r="R33" i="11"/>
  <c r="E32" i="8"/>
  <c r="R4" i="11" s="1"/>
  <c r="W83" i="11"/>
  <c r="K32" i="2"/>
  <c r="AL33" i="2"/>
  <c r="AL10" i="2" s="1"/>
  <c r="L84" i="11" s="1"/>
  <c r="H29" i="10"/>
  <c r="H18" i="8" s="1"/>
  <c r="F27" i="8"/>
  <c r="R36" i="11" s="1"/>
  <c r="I66" i="6"/>
  <c r="H33" i="10" s="1"/>
  <c r="AL9" i="2"/>
  <c r="L83" i="11" s="1"/>
  <c r="AK10" i="2"/>
  <c r="K84" i="11" s="1"/>
  <c r="G35" i="10"/>
  <c r="G20" i="8" s="1"/>
  <c r="L27" i="2"/>
  <c r="L183" i="7"/>
  <c r="J69" i="10"/>
  <c r="J108" i="7"/>
  <c r="I27" i="10" s="1"/>
  <c r="J82" i="7"/>
  <c r="J114" i="7" s="1"/>
  <c r="K69" i="10"/>
  <c r="J31" i="7"/>
  <c r="J66" i="7" s="1"/>
  <c r="J60" i="7"/>
  <c r="J130" i="7"/>
  <c r="J162" i="7" s="1"/>
  <c r="J156" i="7"/>
  <c r="L8" i="7"/>
  <c r="L8" i="6"/>
  <c r="Y32" i="2"/>
  <c r="L22" i="2"/>
  <c r="L28" i="7"/>
  <c r="L63" i="7" s="1"/>
  <c r="L127" i="7"/>
  <c r="L159" i="7" s="1"/>
  <c r="L79" i="7"/>
  <c r="L111" i="7" s="1"/>
  <c r="J79" i="6"/>
  <c r="J111" i="6" s="1"/>
  <c r="J105" i="6"/>
  <c r="K73" i="6"/>
  <c r="K25" i="6"/>
  <c r="K18" i="6"/>
  <c r="L182" i="7"/>
  <c r="K43" i="10" s="1"/>
  <c r="K44" i="10" s="1"/>
  <c r="K23" i="8" s="1"/>
  <c r="W35" i="11" s="1"/>
  <c r="L76" i="6"/>
  <c r="L108" i="6" s="1"/>
  <c r="L28" i="6"/>
  <c r="L60" i="6" s="1"/>
  <c r="J57" i="6"/>
  <c r="J31" i="6"/>
  <c r="J63" i="6" s="1"/>
  <c r="K25" i="7"/>
  <c r="K124" i="7"/>
  <c r="K76" i="7"/>
  <c r="K18" i="7"/>
  <c r="D35" i="8"/>
  <c r="Q7" i="11" s="1"/>
  <c r="K110" i="7"/>
  <c r="K158" i="7"/>
  <c r="V77" i="11"/>
  <c r="U91" i="11"/>
  <c r="K33" i="7"/>
  <c r="K68" i="7" s="1"/>
  <c r="K62" i="7"/>
  <c r="L126" i="7"/>
  <c r="L27" i="7"/>
  <c r="L78" i="7"/>
  <c r="L75" i="6"/>
  <c r="L27" i="6"/>
  <c r="K107" i="6"/>
  <c r="W82" i="11"/>
  <c r="AL8" i="2"/>
  <c r="L82" i="11" s="1"/>
  <c r="K26" i="6"/>
  <c r="K74" i="6"/>
  <c r="AY28" i="2"/>
  <c r="L28" i="2" s="1"/>
  <c r="V90" i="11"/>
  <c r="AX9" i="2"/>
  <c r="K90" i="11" s="1"/>
  <c r="K77" i="7"/>
  <c r="K26" i="7"/>
  <c r="K125" i="7"/>
  <c r="J157" i="7"/>
  <c r="J133" i="7"/>
  <c r="J165" i="7" s="1"/>
  <c r="I30" i="10" s="1"/>
  <c r="L9" i="7"/>
  <c r="W75" i="11"/>
  <c r="Y8" i="2"/>
  <c r="L75" i="11" s="1"/>
  <c r="L9" i="6"/>
  <c r="J34" i="7"/>
  <c r="J69" i="7" s="1"/>
  <c r="I24" i="10" s="1"/>
  <c r="J61" i="7"/>
  <c r="J85" i="7"/>
  <c r="J117" i="7" s="1"/>
  <c r="J109" i="7"/>
  <c r="I28" i="10" s="1"/>
  <c r="J106" i="6"/>
  <c r="J82" i="6"/>
  <c r="J114" i="6" s="1"/>
  <c r="H32" i="10"/>
  <c r="H19" i="8" s="1"/>
  <c r="T32" i="11" s="1"/>
  <c r="J58" i="6"/>
  <c r="J34" i="6"/>
  <c r="I68" i="11"/>
  <c r="T13" i="11"/>
  <c r="K29" i="6"/>
  <c r="K77" i="6"/>
  <c r="K19" i="6"/>
  <c r="K29" i="7"/>
  <c r="K128" i="7"/>
  <c r="K80" i="7"/>
  <c r="K19" i="7"/>
  <c r="J33" i="2"/>
  <c r="U68" i="11"/>
  <c r="J8" i="2"/>
  <c r="J45" i="2"/>
  <c r="J61" i="6"/>
  <c r="J32" i="6"/>
  <c r="L14" i="6"/>
  <c r="L14" i="7"/>
  <c r="W76" i="11"/>
  <c r="Y9" i="2"/>
  <c r="L76" i="11" s="1"/>
  <c r="Y33" i="2"/>
  <c r="S30" i="11"/>
  <c r="J109" i="6"/>
  <c r="J80" i="6"/>
  <c r="J112" i="7"/>
  <c r="J86" i="7"/>
  <c r="J118" i="7" s="1"/>
  <c r="J83" i="7"/>
  <c r="J134" i="7"/>
  <c r="J166" i="7" s="1"/>
  <c r="I31" i="10" s="1"/>
  <c r="J160" i="7"/>
  <c r="J131" i="7"/>
  <c r="I64" i="6"/>
  <c r="I135" i="7"/>
  <c r="I167" i="7" s="1"/>
  <c r="I163" i="7"/>
  <c r="I10" i="2"/>
  <c r="I47" i="2"/>
  <c r="I67" i="7"/>
  <c r="J35" i="7"/>
  <c r="J70" i="7" s="1"/>
  <c r="I25" i="10" s="1"/>
  <c r="J64" i="7"/>
  <c r="J32" i="7"/>
  <c r="I115" i="7"/>
  <c r="AY23" i="2"/>
  <c r="AX33" i="2"/>
  <c r="AX10" i="2" s="1"/>
  <c r="K91" i="11" s="1"/>
  <c r="AX8" i="2"/>
  <c r="K89" i="11" s="1"/>
  <c r="V89" i="11"/>
  <c r="K23" i="2"/>
  <c r="I112" i="6"/>
  <c r="I84" i="6"/>
  <c r="I116" i="6" s="1"/>
  <c r="H70" i="11"/>
  <c r="S15" i="11"/>
  <c r="U14" i="11" l="1"/>
  <c r="H38" i="10"/>
  <c r="H21" i="8" s="1"/>
  <c r="T34" i="11" s="1"/>
  <c r="K129" i="7"/>
  <c r="K161" i="7" s="1"/>
  <c r="I36" i="10"/>
  <c r="U70" i="11"/>
  <c r="I68" i="6"/>
  <c r="G50" i="10"/>
  <c r="Y34" i="2"/>
  <c r="I36" i="6"/>
  <c r="L20" i="7"/>
  <c r="K132" i="7"/>
  <c r="K164" i="7" s="1"/>
  <c r="I36" i="7"/>
  <c r="I71" i="7" s="1"/>
  <c r="L129" i="7"/>
  <c r="L161" i="7" s="1"/>
  <c r="K84" i="7"/>
  <c r="K116" i="7" s="1"/>
  <c r="H49" i="10"/>
  <c r="I37" i="10"/>
  <c r="K46" i="2"/>
  <c r="K9" i="2"/>
  <c r="K69" i="11" s="1"/>
  <c r="L30" i="7"/>
  <c r="L65" i="7" s="1"/>
  <c r="K78" i="6"/>
  <c r="K83" i="6" s="1"/>
  <c r="K115" i="6" s="1"/>
  <c r="K20" i="6"/>
  <c r="K30" i="6"/>
  <c r="K35" i="6" s="1"/>
  <c r="L30" i="6"/>
  <c r="L62" i="6" s="1"/>
  <c r="L78" i="6"/>
  <c r="L110" i="6" s="1"/>
  <c r="V69" i="11"/>
  <c r="E35" i="8"/>
  <c r="E9" i="14" s="1"/>
  <c r="E18" i="14" s="1"/>
  <c r="R8" i="11" s="1"/>
  <c r="J110" i="6"/>
  <c r="J81" i="6"/>
  <c r="J113" i="6" s="1"/>
  <c r="I87" i="7"/>
  <c r="I119" i="7" s="1"/>
  <c r="J62" i="6"/>
  <c r="J67" i="6" s="1"/>
  <c r="I34" i="10" s="1"/>
  <c r="J33" i="6"/>
  <c r="J65" i="6" s="1"/>
  <c r="F32" i="8"/>
  <c r="S4" i="11" s="1"/>
  <c r="W84" i="11"/>
  <c r="T31" i="11"/>
  <c r="G33" i="8"/>
  <c r="T5" i="11" s="1"/>
  <c r="G34" i="8"/>
  <c r="T6" i="11" s="1"/>
  <c r="L32" i="2"/>
  <c r="I29" i="10"/>
  <c r="I18" i="8" s="1"/>
  <c r="H35" i="10"/>
  <c r="H20" i="8" s="1"/>
  <c r="H48" i="10"/>
  <c r="J66" i="6"/>
  <c r="I33" i="10" s="1"/>
  <c r="S33" i="11"/>
  <c r="G27" i="8"/>
  <c r="S36" i="11" s="1"/>
  <c r="L25" i="7"/>
  <c r="L124" i="7"/>
  <c r="L76" i="7"/>
  <c r="L18" i="7"/>
  <c r="K108" i="7"/>
  <c r="J27" i="10" s="1"/>
  <c r="K82" i="7"/>
  <c r="K114" i="7" s="1"/>
  <c r="K156" i="7"/>
  <c r="K130" i="7"/>
  <c r="K162" i="7" s="1"/>
  <c r="K57" i="6"/>
  <c r="K31" i="6"/>
  <c r="K63" i="6" s="1"/>
  <c r="K31" i="7"/>
  <c r="K66" i="7" s="1"/>
  <c r="K60" i="7"/>
  <c r="K79" i="6"/>
  <c r="K111" i="6" s="1"/>
  <c r="K105" i="6"/>
  <c r="L73" i="6"/>
  <c r="L25" i="6"/>
  <c r="L18" i="6"/>
  <c r="D9" i="14"/>
  <c r="D18" i="14" s="1"/>
  <c r="Q8" i="11" s="1"/>
  <c r="D12" i="14"/>
  <c r="D21" i="14" s="1"/>
  <c r="D10" i="14"/>
  <c r="D19" i="14" s="1"/>
  <c r="D11" i="14"/>
  <c r="D20" i="14" s="1"/>
  <c r="V91" i="11"/>
  <c r="L107" i="6"/>
  <c r="I32" i="10"/>
  <c r="I19" i="8" s="1"/>
  <c r="U32" i="11" s="1"/>
  <c r="L84" i="7"/>
  <c r="L116" i="7" s="1"/>
  <c r="L110" i="7"/>
  <c r="L62" i="7"/>
  <c r="L158" i="7"/>
  <c r="L59" i="6"/>
  <c r="L26" i="6"/>
  <c r="L74" i="6"/>
  <c r="K109" i="7"/>
  <c r="J28" i="10" s="1"/>
  <c r="K85" i="7"/>
  <c r="K117" i="7" s="1"/>
  <c r="L77" i="7"/>
  <c r="L26" i="7"/>
  <c r="L125" i="7"/>
  <c r="AY9" i="2"/>
  <c r="L90" i="11" s="1"/>
  <c r="W90" i="11"/>
  <c r="K82" i="6"/>
  <c r="K114" i="6" s="1"/>
  <c r="K106" i="6"/>
  <c r="K58" i="6"/>
  <c r="K34" i="6"/>
  <c r="K133" i="7"/>
  <c r="K165" i="7" s="1"/>
  <c r="J30" i="10" s="1"/>
  <c r="K157" i="7"/>
  <c r="I38" i="10"/>
  <c r="I21" i="8" s="1"/>
  <c r="U34" i="11" s="1"/>
  <c r="W77" i="11"/>
  <c r="K61" i="7"/>
  <c r="K34" i="7"/>
  <c r="K69" i="7" s="1"/>
  <c r="J24" i="10" s="1"/>
  <c r="V68" i="11"/>
  <c r="K33" i="2"/>
  <c r="K8" i="2"/>
  <c r="K45" i="2"/>
  <c r="Y10" i="2"/>
  <c r="L77" i="11" s="1"/>
  <c r="K35" i="7"/>
  <c r="K70" i="7" s="1"/>
  <c r="J25" i="10" s="1"/>
  <c r="K64" i="7"/>
  <c r="K32" i="7"/>
  <c r="L9" i="2"/>
  <c r="W69" i="11"/>
  <c r="K109" i="6"/>
  <c r="K80" i="6"/>
  <c r="J163" i="7"/>
  <c r="J135" i="7"/>
  <c r="J167" i="7" s="1"/>
  <c r="J64" i="6"/>
  <c r="J68" i="11"/>
  <c r="U13" i="11"/>
  <c r="K61" i="6"/>
  <c r="K32" i="6"/>
  <c r="J87" i="7"/>
  <c r="J119" i="7" s="1"/>
  <c r="J115" i="7"/>
  <c r="L46" i="2"/>
  <c r="T30" i="11"/>
  <c r="J10" i="2"/>
  <c r="J47" i="2"/>
  <c r="AY8" i="2"/>
  <c r="L89" i="11" s="1"/>
  <c r="W89" i="11"/>
  <c r="AY33" i="2"/>
  <c r="AY10" i="2" s="1"/>
  <c r="L91" i="11" s="1"/>
  <c r="L23" i="2"/>
  <c r="J36" i="7"/>
  <c r="J71" i="7" s="1"/>
  <c r="J67" i="7"/>
  <c r="I70" i="11"/>
  <c r="T15" i="11"/>
  <c r="L128" i="7"/>
  <c r="L29" i="7"/>
  <c r="L80" i="7"/>
  <c r="L19" i="7"/>
  <c r="L77" i="6"/>
  <c r="L29" i="6"/>
  <c r="L19" i="6"/>
  <c r="K112" i="7"/>
  <c r="K86" i="7"/>
  <c r="K118" i="7" s="1"/>
  <c r="K83" i="7"/>
  <c r="I26" i="10"/>
  <c r="I17" i="8" s="1"/>
  <c r="J112" i="6"/>
  <c r="K134" i="7"/>
  <c r="K166" i="7" s="1"/>
  <c r="J31" i="10" s="1"/>
  <c r="K160" i="7"/>
  <c r="K131" i="7"/>
  <c r="J36" i="10" l="1"/>
  <c r="J84" i="6"/>
  <c r="J116" i="6" s="1"/>
  <c r="L132" i="7"/>
  <c r="L164" i="7" s="1"/>
  <c r="H50" i="10"/>
  <c r="J37" i="10"/>
  <c r="J38" i="10" s="1"/>
  <c r="J21" i="8" s="1"/>
  <c r="V34" i="11" s="1"/>
  <c r="I49" i="10"/>
  <c r="L33" i="7"/>
  <c r="L68" i="7" s="1"/>
  <c r="V14" i="11"/>
  <c r="V70" i="11"/>
  <c r="R7" i="11"/>
  <c r="L81" i="6"/>
  <c r="L113" i="6" s="1"/>
  <c r="L33" i="6"/>
  <c r="L65" i="6" s="1"/>
  <c r="K110" i="6"/>
  <c r="K81" i="6"/>
  <c r="K113" i="6" s="1"/>
  <c r="K62" i="6"/>
  <c r="K67" i="6" s="1"/>
  <c r="J34" i="10" s="1"/>
  <c r="K33" i="6"/>
  <c r="K65" i="6" s="1"/>
  <c r="J36" i="6"/>
  <c r="E12" i="14"/>
  <c r="E21" i="14" s="1"/>
  <c r="J68" i="6"/>
  <c r="E10" i="14"/>
  <c r="E19" i="14" s="1"/>
  <c r="E11" i="14"/>
  <c r="E20" i="14" s="1"/>
  <c r="H34" i="8"/>
  <c r="U6" i="11" s="1"/>
  <c r="F35" i="8"/>
  <c r="F12" i="14" s="1"/>
  <c r="F21" i="14" s="1"/>
  <c r="T33" i="11"/>
  <c r="G32" i="8"/>
  <c r="T4" i="11" s="1"/>
  <c r="W91" i="11"/>
  <c r="U31" i="11"/>
  <c r="H33" i="8"/>
  <c r="U5" i="11" s="1"/>
  <c r="H27" i="8"/>
  <c r="T36" i="11" s="1"/>
  <c r="I48" i="10"/>
  <c r="I50" i="10" s="1"/>
  <c r="I35" i="10"/>
  <c r="I20" i="8" s="1"/>
  <c r="K66" i="6"/>
  <c r="J33" i="10" s="1"/>
  <c r="L57" i="6"/>
  <c r="L31" i="6"/>
  <c r="L63" i="6" s="1"/>
  <c r="L108" i="7"/>
  <c r="K27" i="10" s="1"/>
  <c r="L82" i="7"/>
  <c r="L114" i="7" s="1"/>
  <c r="L130" i="7"/>
  <c r="L162" i="7" s="1"/>
  <c r="L156" i="7"/>
  <c r="L79" i="6"/>
  <c r="L111" i="6" s="1"/>
  <c r="L105" i="6"/>
  <c r="J29" i="10"/>
  <c r="J18" i="8" s="1"/>
  <c r="L60" i="7"/>
  <c r="L31" i="7"/>
  <c r="L66" i="7" s="1"/>
  <c r="J32" i="10"/>
  <c r="J19" i="8" s="1"/>
  <c r="V32" i="11" s="1"/>
  <c r="L133" i="7"/>
  <c r="L165" i="7" s="1"/>
  <c r="K30" i="10" s="1"/>
  <c r="L157" i="7"/>
  <c r="L34" i="7"/>
  <c r="L69" i="7" s="1"/>
  <c r="K24" i="10" s="1"/>
  <c r="L61" i="7"/>
  <c r="L109" i="7"/>
  <c r="K28" i="10" s="1"/>
  <c r="L85" i="7"/>
  <c r="L117" i="7" s="1"/>
  <c r="L82" i="6"/>
  <c r="L114" i="6" s="1"/>
  <c r="L106" i="6"/>
  <c r="L58" i="6"/>
  <c r="L34" i="6"/>
  <c r="W14" i="11"/>
  <c r="L69" i="11"/>
  <c r="K115" i="7"/>
  <c r="K87" i="7"/>
  <c r="K119" i="7" s="1"/>
  <c r="L33" i="2"/>
  <c r="L8" i="2"/>
  <c r="W68" i="11"/>
  <c r="W70" i="11" s="1"/>
  <c r="L45" i="2"/>
  <c r="L86" i="7"/>
  <c r="L118" i="7" s="1"/>
  <c r="L112" i="7"/>
  <c r="L83" i="7"/>
  <c r="K64" i="6"/>
  <c r="K67" i="7"/>
  <c r="K36" i="7"/>
  <c r="K71" i="7" s="1"/>
  <c r="K112" i="6"/>
  <c r="L83" i="6"/>
  <c r="L115" i="6" s="1"/>
  <c r="K37" i="10" s="1"/>
  <c r="L109" i="6"/>
  <c r="L80" i="6"/>
  <c r="L35" i="7"/>
  <c r="L70" i="7" s="1"/>
  <c r="K25" i="10" s="1"/>
  <c r="L64" i="7"/>
  <c r="L32" i="7"/>
  <c r="L134" i="7"/>
  <c r="L166" i="7" s="1"/>
  <c r="K31" i="10" s="1"/>
  <c r="L160" i="7"/>
  <c r="L131" i="7"/>
  <c r="J26" i="10"/>
  <c r="J17" i="8" s="1"/>
  <c r="V13" i="11"/>
  <c r="K68" i="11"/>
  <c r="U30" i="11"/>
  <c r="K10" i="2"/>
  <c r="K47" i="2"/>
  <c r="K163" i="7"/>
  <c r="K135" i="7"/>
  <c r="K167" i="7" s="1"/>
  <c r="L61" i="6"/>
  <c r="L67" i="6" s="1"/>
  <c r="L35" i="6"/>
  <c r="L32" i="6"/>
  <c r="J70" i="11"/>
  <c r="U15" i="11"/>
  <c r="J48" i="10" l="1"/>
  <c r="K36" i="10"/>
  <c r="K38" i="10" s="1"/>
  <c r="K21" i="8" s="1"/>
  <c r="W34" i="11" s="1"/>
  <c r="J49" i="10"/>
  <c r="K36" i="6"/>
  <c r="K84" i="6"/>
  <c r="K116" i="6" s="1"/>
  <c r="K68" i="6"/>
  <c r="K34" i="10"/>
  <c r="I34" i="8"/>
  <c r="V6" i="11" s="1"/>
  <c r="S7" i="11"/>
  <c r="F10" i="14"/>
  <c r="F19" i="14" s="1"/>
  <c r="F9" i="14"/>
  <c r="F18" i="14" s="1"/>
  <c r="S8" i="11" s="1"/>
  <c r="F11" i="14"/>
  <c r="F20" i="14" s="1"/>
  <c r="G35" i="8"/>
  <c r="G12" i="14" s="1"/>
  <c r="G21" i="14" s="1"/>
  <c r="V31" i="11"/>
  <c r="I33" i="8"/>
  <c r="V5" i="11" s="1"/>
  <c r="U33" i="11"/>
  <c r="H32" i="8"/>
  <c r="U4" i="11" s="1"/>
  <c r="I27" i="8"/>
  <c r="U36" i="11" s="1"/>
  <c r="J35" i="10"/>
  <c r="J20" i="8" s="1"/>
  <c r="L66" i="6"/>
  <c r="K33" i="10" s="1"/>
  <c r="K29" i="10"/>
  <c r="K18" i="8" s="1"/>
  <c r="K32" i="10"/>
  <c r="K19" i="8" s="1"/>
  <c r="W32" i="11" s="1"/>
  <c r="V30" i="11"/>
  <c r="L112" i="6"/>
  <c r="L84" i="6"/>
  <c r="L116" i="6" s="1"/>
  <c r="L10" i="2"/>
  <c r="L47" i="2"/>
  <c r="L163" i="7"/>
  <c r="L135" i="7"/>
  <c r="L167" i="7" s="1"/>
  <c r="L115" i="7"/>
  <c r="L87" i="7"/>
  <c r="L119" i="7" s="1"/>
  <c r="L36" i="6"/>
  <c r="L64" i="6"/>
  <c r="L68" i="6" s="1"/>
  <c r="K70" i="11"/>
  <c r="V15" i="11"/>
  <c r="L36" i="7"/>
  <c r="L71" i="7" s="1"/>
  <c r="L67" i="7"/>
  <c r="T7" i="11"/>
  <c r="K49" i="10"/>
  <c r="K26" i="10"/>
  <c r="K17" i="8" s="1"/>
  <c r="L68" i="11"/>
  <c r="W13" i="11"/>
  <c r="K48" i="10" l="1"/>
  <c r="J50" i="10"/>
  <c r="J34" i="8"/>
  <c r="W6" i="11" s="1"/>
  <c r="G11" i="14"/>
  <c r="G20" i="14" s="1"/>
  <c r="G10" i="14"/>
  <c r="G19" i="14" s="1"/>
  <c r="G9" i="14"/>
  <c r="G18" i="14" s="1"/>
  <c r="T8" i="11" s="1"/>
  <c r="H35" i="8"/>
  <c r="H9" i="14" s="1"/>
  <c r="H18" i="14" s="1"/>
  <c r="U8" i="11" s="1"/>
  <c r="I32" i="8"/>
  <c r="V4" i="11" s="1"/>
  <c r="W31" i="11"/>
  <c r="J33" i="8"/>
  <c r="W5" i="11" s="1"/>
  <c r="V33" i="11"/>
  <c r="J27" i="8"/>
  <c r="V36" i="11" s="1"/>
  <c r="K35" i="10"/>
  <c r="K20" i="8" s="1"/>
  <c r="K50" i="10"/>
  <c r="L70" i="11"/>
  <c r="W15" i="11"/>
  <c r="W30" i="11"/>
  <c r="H11" i="14" l="1"/>
  <c r="H20" i="14" s="1"/>
  <c r="H12" i="14"/>
  <c r="H21" i="14" s="1"/>
  <c r="U7" i="11"/>
  <c r="H10" i="14"/>
  <c r="H19" i="14" s="1"/>
  <c r="I35" i="8"/>
  <c r="I12" i="14" s="1"/>
  <c r="I21" i="14" s="1"/>
  <c r="W33" i="11"/>
  <c r="J32" i="8"/>
  <c r="W4" i="11" s="1"/>
  <c r="K27" i="8"/>
  <c r="W36" i="11" s="1"/>
  <c r="V7" i="11" l="1"/>
  <c r="I10" i="14"/>
  <c r="I19" i="14" s="1"/>
  <c r="I9" i="14"/>
  <c r="I18" i="14" s="1"/>
  <c r="V8" i="11" s="1"/>
  <c r="I11" i="14"/>
  <c r="I20" i="14" s="1"/>
  <c r="J35" i="8"/>
  <c r="J9" i="14" s="1"/>
  <c r="J18" i="14" s="1"/>
  <c r="W8" i="11" s="1"/>
  <c r="J12" i="14" l="1"/>
  <c r="J21" i="14" s="1"/>
  <c r="W7" i="11"/>
  <c r="J10" i="14"/>
  <c r="J19" i="14" s="1"/>
  <c r="J11" i="14"/>
  <c r="J20" i="14" s="1"/>
</calcChain>
</file>

<file path=xl/sharedStrings.xml><?xml version="1.0" encoding="utf-8"?>
<sst xmlns="http://schemas.openxmlformats.org/spreadsheetml/2006/main" count="1258" uniqueCount="257">
  <si>
    <t>Population Projections</t>
  </si>
  <si>
    <t>Age 0</t>
  </si>
  <si>
    <t>Age 1</t>
  </si>
  <si>
    <t>Age 2</t>
  </si>
  <si>
    <t>Age 3</t>
  </si>
  <si>
    <t>Age 4</t>
  </si>
  <si>
    <t>Caution</t>
  </si>
  <si>
    <t>Do not apply projection rates for all years; only for first one and use cohort model</t>
  </si>
  <si>
    <t>Mortality Rate</t>
  </si>
  <si>
    <t>based on trends</t>
  </si>
  <si>
    <t>Age Male (years)</t>
  </si>
  <si>
    <t>Age Female (years)</t>
  </si>
  <si>
    <t>Age Total (years)</t>
  </si>
  <si>
    <t>Male</t>
  </si>
  <si>
    <t>Female</t>
  </si>
  <si>
    <t>female (0y)</t>
  </si>
  <si>
    <t>male (0y)</t>
  </si>
  <si>
    <t>Years</t>
  </si>
  <si>
    <t>Total</t>
  </si>
  <si>
    <t>Pre-Primary NER</t>
  </si>
  <si>
    <t>Note</t>
  </si>
  <si>
    <t>NER for baseline year will be automatically calculated using enrolment and population figures</t>
  </si>
  <si>
    <t>Enrolment Male</t>
  </si>
  <si>
    <t>Enrolment Female</t>
  </si>
  <si>
    <t>Pre-Pri Year 1</t>
  </si>
  <si>
    <t>Pre-Pri Year 2</t>
  </si>
  <si>
    <t>Pre-Pri Year 3</t>
  </si>
  <si>
    <t>Age (Yrs)</t>
  </si>
  <si>
    <t>Enrolment Projections - Public</t>
  </si>
  <si>
    <t>Enrolment Projections - Others</t>
  </si>
  <si>
    <t>Enrolment Projections - Total (Public + Private + Others)</t>
  </si>
  <si>
    <t>Net Enrolment Rates (3-5 Years) Projections - Total</t>
  </si>
  <si>
    <t>Net Enrolment Rates (3-5 Years) Projections - Public</t>
  </si>
  <si>
    <t>Net Enrolment Rates (3-5 Years) Projections - Others</t>
  </si>
  <si>
    <t>-</t>
  </si>
  <si>
    <t>Increase in Enrolment - Total (Public + Private + Others)</t>
  </si>
  <si>
    <t>Increase in Enrolment - Others</t>
  </si>
  <si>
    <t>Increase in Enrolment - Public</t>
  </si>
  <si>
    <r>
      <t xml:space="preserve">Note: </t>
    </r>
    <r>
      <rPr>
        <sz val="11"/>
        <color theme="1"/>
        <rFont val="Calibri"/>
        <family val="2"/>
        <scheme val="minor"/>
      </rPr>
      <t>Use age-specific enrolment of children; do not add any children younger or older</t>
    </r>
  </si>
  <si>
    <t>Drop-out Rates - Public</t>
  </si>
  <si>
    <t>Drop-out Rates - Others</t>
  </si>
  <si>
    <t>Repetition Rates - Public</t>
  </si>
  <si>
    <t>Repetition Rates - Others</t>
  </si>
  <si>
    <t>Decline in Repetition Rates - Public</t>
  </si>
  <si>
    <t>Decline in Drop-out Rates - Public</t>
  </si>
  <si>
    <t>Decline in Drop-out Rates - Private</t>
  </si>
  <si>
    <t>Decline in Repetition Rates - Private</t>
  </si>
  <si>
    <t>Decline in Drop-out Rates - Others</t>
  </si>
  <si>
    <t>Decline in Repetition Rates - Others</t>
  </si>
  <si>
    <t>3-5</t>
  </si>
  <si>
    <t>Enrolment Total</t>
  </si>
  <si>
    <t>Gender</t>
  </si>
  <si>
    <t>Policy Decision</t>
  </si>
  <si>
    <t>new students</t>
  </si>
  <si>
    <t>Years to cover gap</t>
  </si>
  <si>
    <t>Unit</t>
  </si>
  <si>
    <t>Item</t>
  </si>
  <si>
    <t>Classroom Construction</t>
  </si>
  <si>
    <t>Increase</t>
  </si>
  <si>
    <t>Currency</t>
  </si>
  <si>
    <t>USD</t>
  </si>
  <si>
    <t>ECE Kit</t>
  </si>
  <si>
    <t>Reading Corner</t>
  </si>
  <si>
    <t>Teacher Salary</t>
  </si>
  <si>
    <t>Public Grant to Private</t>
  </si>
  <si>
    <t>per kit</t>
  </si>
  <si>
    <t>per corner</t>
  </si>
  <si>
    <t>per room</t>
  </si>
  <si>
    <t>per teacher</t>
  </si>
  <si>
    <t>per caregiver</t>
  </si>
  <si>
    <t>per school</t>
  </si>
  <si>
    <t>Add any other cost</t>
  </si>
  <si>
    <t>Add any other unit cost</t>
  </si>
  <si>
    <t>Pre-Pri Overall</t>
  </si>
  <si>
    <t>School Gender</t>
  </si>
  <si>
    <t>Age (Years)</t>
  </si>
  <si>
    <t>Existing No.</t>
  </si>
  <si>
    <t>Total Gap</t>
  </si>
  <si>
    <t>Additional Costs</t>
  </si>
  <si>
    <t>Caregiver Salary</t>
  </si>
  <si>
    <t>Unit Costs and Annual Increase</t>
  </si>
  <si>
    <t>School Type</t>
  </si>
  <si>
    <t>Private</t>
  </si>
  <si>
    <t>Public-Private</t>
  </si>
  <si>
    <t>Community</t>
  </si>
  <si>
    <t>Overall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</si>
  <si>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above table presents the number of private, community, and PPP schools which are provided grants by government for ECE provision</t>
    </r>
  </si>
  <si>
    <t>annual increase</t>
  </si>
  <si>
    <t>Private Schools</t>
  </si>
  <si>
    <t>Public Private Schools</t>
  </si>
  <si>
    <t>Grand Total</t>
  </si>
  <si>
    <t>base</t>
  </si>
  <si>
    <t>Salary Budget</t>
  </si>
  <si>
    <t>Non-Salary Budget</t>
  </si>
  <si>
    <t>Development Budget</t>
  </si>
  <si>
    <t>Total Budget</t>
  </si>
  <si>
    <t>Budget Increase - Without Additional Intervention</t>
  </si>
  <si>
    <t>Category</t>
  </si>
  <si>
    <t>Financial Resources Required</t>
  </si>
  <si>
    <t>ECE Budget Trends</t>
  </si>
  <si>
    <t>ECE Budget Required in the Next Years</t>
  </si>
  <si>
    <t>millions</t>
  </si>
  <si>
    <t>Major Additional ECE Costs</t>
  </si>
  <si>
    <t>ECE Net Enrolment Rates (3-5 Years) Projections - Total</t>
  </si>
  <si>
    <t>ECE Net Enrolment Rates (3-5 Years) Projections - Public</t>
  </si>
  <si>
    <t>ECE Net Enrolment Rates (3-5 Years) Projections - Private</t>
  </si>
  <si>
    <t>ECE Net Enrolment Rates (3-5 Years) Projections - Others</t>
  </si>
  <si>
    <t>Enrolment (3-5 Years) Projections - Total</t>
  </si>
  <si>
    <t>Enrolment (3-5 Years) Projections - Others</t>
  </si>
  <si>
    <t>Enrolment (3-5 Years) Projections - Private</t>
  </si>
  <si>
    <t>Enrolment (3-5 Years) Projections - Public</t>
  </si>
  <si>
    <t>Age</t>
  </si>
  <si>
    <t>3-5 y</t>
  </si>
  <si>
    <t>Share of Public Sector in ECE Enrolment</t>
  </si>
  <si>
    <t>Abdullah Alam</t>
  </si>
  <si>
    <t>abalam@unicef.org</t>
  </si>
  <si>
    <t>Cost and Financing Expert</t>
  </si>
  <si>
    <t>Education Section, UNICEF HQ NY</t>
  </si>
  <si>
    <t>Developed by</t>
  </si>
  <si>
    <t>Data Inputs</t>
  </si>
  <si>
    <t>Public</t>
  </si>
  <si>
    <t>Others</t>
  </si>
  <si>
    <t>Base year</t>
  </si>
  <si>
    <t>Mortality Rate (latest available)</t>
  </si>
  <si>
    <t>Grade</t>
  </si>
  <si>
    <t>Existing</t>
  </si>
  <si>
    <t>Gap</t>
  </si>
  <si>
    <t>Unit Costs</t>
  </si>
  <si>
    <t>currency</t>
  </si>
  <si>
    <t>change as per case</t>
  </si>
  <si>
    <t>Supporting Strategies</t>
  </si>
  <si>
    <t>Description</t>
  </si>
  <si>
    <t>Provision of ECE Furniture</t>
  </si>
  <si>
    <t>Development of ECE Curriculum</t>
  </si>
  <si>
    <t>Add additional strategies</t>
  </si>
  <si>
    <t>Unit Cost</t>
  </si>
  <si>
    <t>per facility</t>
  </si>
  <si>
    <t>per item</t>
  </si>
  <si>
    <t>per day</t>
  </si>
  <si>
    <t>Supporting Strategies - Units</t>
  </si>
  <si>
    <t>Supporting Strategies - Costs</t>
  </si>
  <si>
    <t>Supporting Strategies - Unit Costs</t>
  </si>
  <si>
    <t>Strategies Total</t>
  </si>
  <si>
    <t>Input data as per data availability</t>
  </si>
  <si>
    <t>Transition Rate from ECE to Pre-Primary</t>
  </si>
  <si>
    <t>Type</t>
  </si>
  <si>
    <t>Public - Male</t>
  </si>
  <si>
    <t>Private - Male</t>
  </si>
  <si>
    <t>Others - Male</t>
  </si>
  <si>
    <t>Public - Female</t>
  </si>
  <si>
    <t>Private - Female</t>
  </si>
  <si>
    <t>Others - Female</t>
  </si>
  <si>
    <t>Public Grants to Private and Community Schools</t>
  </si>
  <si>
    <t>Drop-out Rates - Private and Community Schools</t>
  </si>
  <si>
    <t>Repetition Rates - Private and Community Schools</t>
  </si>
  <si>
    <t>Net Enrolment Rates (3-5 Years) Projections - Private and Community Schools</t>
  </si>
  <si>
    <t>Enrolment Projections - Private and Community Schools</t>
  </si>
  <si>
    <t>The 'others' category includes schools running under public private partnership mode and any others that are not covered under the public or private category.</t>
  </si>
  <si>
    <t>Increase in Enrolment - Private and Community Schools</t>
  </si>
  <si>
    <t>School Meals</t>
  </si>
  <si>
    <t>per child</t>
  </si>
  <si>
    <t>All the above costs should be added as annual costs</t>
  </si>
  <si>
    <t>number</t>
  </si>
  <si>
    <t>per classroom</t>
  </si>
  <si>
    <t>set automatically at 5% of classroom construction cost; O&amp;M stands for Operations &amp; Maintenance</t>
  </si>
  <si>
    <t>NER refers to Net Enrolment Rate (biological ages 3-5 years)</t>
  </si>
  <si>
    <t>Drop-out Rates in Pre-Primary Education</t>
  </si>
  <si>
    <t>Repetition Rates in Pre-Primary Education</t>
  </si>
  <si>
    <t>ECE Stage</t>
  </si>
  <si>
    <t>years</t>
  </si>
  <si>
    <t>Male (%)</t>
  </si>
  <si>
    <t>Female (%)</t>
  </si>
  <si>
    <t>male (0y) - percent</t>
  </si>
  <si>
    <t>female (0y) - percent</t>
  </si>
  <si>
    <t>average</t>
  </si>
  <si>
    <t>Instructions: Input data in skin coloured cells only. All other cells will be automatically populated using the data entered in 'inputs' sheet.</t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</si>
  <si>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No data needs to be entered in this sheet. All cells will be automatically populated using the data entered in 'inputs' sheet.</t>
    </r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</si>
  <si>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Input data in skin coloured cells only. Read instructions highlighted in red colour under the tables (if available).</t>
    </r>
  </si>
  <si>
    <t>Instructions: Input data in skin coloured cells only. All other cells will be automatically populated.</t>
  </si>
  <si>
    <t>Baseline Population (Nationals)</t>
  </si>
  <si>
    <t>Baseline Population (Refugees)</t>
  </si>
  <si>
    <t>Population Projection Rate (Nationals)</t>
  </si>
  <si>
    <t>Population Projection Rate (Refugees)</t>
  </si>
  <si>
    <t>ECE Budget vis-à-vis Policy Options</t>
  </si>
  <si>
    <t>Option</t>
  </si>
  <si>
    <t>Full Package</t>
  </si>
  <si>
    <t>Explanations</t>
  </si>
  <si>
    <t>Full package means all the options added in the model are being exercised.</t>
  </si>
  <si>
    <t>Only Public Provision</t>
  </si>
  <si>
    <t>Only public provisions means that the government is taking care of public schools only and grants to private schools are not given.</t>
  </si>
  <si>
    <t>Business as Usual</t>
  </si>
  <si>
    <t>Business as usual assumes that no additional ECE intervention will take place and budget increase will depend on trends.</t>
  </si>
  <si>
    <t>No Development</t>
  </si>
  <si>
    <t>No Meals</t>
  </si>
  <si>
    <t>No development option assumes that the government will pick the cost of salary and non-salary expenses and increase development budget as per trends.</t>
  </si>
  <si>
    <t>No meals option assumes that the government will not pay for student meals. This cost can be passed onto parents.</t>
  </si>
  <si>
    <t>Instructions: All cells in this sheet will be automatically populated.</t>
  </si>
  <si>
    <t>Annual Inc (%)</t>
  </si>
  <si>
    <t>Special Inc (%)</t>
  </si>
  <si>
    <t>Monitoring and Evaluation</t>
  </si>
  <si>
    <t>per monitor</t>
  </si>
  <si>
    <t>ECE Accelerator Simulation Model</t>
  </si>
  <si>
    <t>Items Names</t>
  </si>
  <si>
    <t>S.No.</t>
  </si>
  <si>
    <t>Name</t>
  </si>
  <si>
    <t>WASH</t>
  </si>
  <si>
    <t>O&amp;M</t>
  </si>
  <si>
    <t>Note: The above can be replace as per the country context. All other sheets in the model will automatically incorporate the change.</t>
  </si>
  <si>
    <t>Classroom</t>
  </si>
  <si>
    <t>Teacher</t>
  </si>
  <si>
    <t>Caregiver</t>
  </si>
  <si>
    <t>Baseline Population (Special Needs Children)</t>
  </si>
  <si>
    <t>Migration Rates</t>
  </si>
  <si>
    <t>Enrolment (not including special needs children)</t>
  </si>
  <si>
    <t>Enrolment (special needs children)</t>
  </si>
  <si>
    <t>Specialized Staff for Special Needs Students in Public Schools</t>
  </si>
  <si>
    <t>Skilled</t>
  </si>
  <si>
    <t>Unskilled</t>
  </si>
  <si>
    <t>WASH Facilities (toilets)</t>
  </si>
  <si>
    <t>WASH Facilities (taps)</t>
  </si>
  <si>
    <t>Note: All the above unit costs should be entered on an annual basis (especially for human resource)</t>
  </si>
  <si>
    <t>Policy Decision (normal)</t>
  </si>
  <si>
    <t>Policy Decision (Migration Adjusted)</t>
  </si>
  <si>
    <t>Furniture</t>
  </si>
  <si>
    <t>Existing Special Needs Staff Gap - Public</t>
  </si>
  <si>
    <t>Existing Special Needs Staff</t>
  </si>
  <si>
    <t>New Special Needs Staff</t>
  </si>
  <si>
    <t>per peron</t>
  </si>
  <si>
    <t>per person</t>
  </si>
  <si>
    <t>Special Needs Staff Salary</t>
  </si>
  <si>
    <t>old staff salaries also continued</t>
  </si>
  <si>
    <t>this includes the unskilled teachers as well</t>
  </si>
  <si>
    <t>Capacity Building of Parents</t>
  </si>
  <si>
    <t>per parent</t>
  </si>
  <si>
    <t>Annual Inc.</t>
  </si>
  <si>
    <t>Achievement Rates</t>
  </si>
  <si>
    <t>Decline in Drop-out Rates</t>
  </si>
  <si>
    <t>Decline in Repetition Rates</t>
  </si>
  <si>
    <t>Increase of Enrolment over Years</t>
  </si>
  <si>
    <t>Pre-Primary Year 1</t>
  </si>
  <si>
    <t>Pre-Primary Year 2</t>
  </si>
  <si>
    <t>Pre-Primary Year 3</t>
  </si>
  <si>
    <t>Student Caregiver Ratios</t>
  </si>
  <si>
    <t>years to cover gap</t>
  </si>
  <si>
    <t>Addressing Existing Special Needs Staff Gap</t>
  </si>
  <si>
    <t>Increase in Private and Community Schools receiving Public Grants</t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</si>
  <si>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No data needs to be entered in this sheet. All cells will be automatically populated using the data entered in 'inputs' and 'policy decisions' sheets.</t>
    </r>
  </si>
  <si>
    <r>
      <rPr>
        <i/>
        <u/>
        <sz val="11"/>
        <color rgb="FFFF0000"/>
        <rFont val="Calibri"/>
        <family val="2"/>
        <scheme val="minor"/>
      </rPr>
      <t>Instructions</t>
    </r>
    <r>
      <rPr>
        <i/>
        <sz val="11"/>
        <color rgb="FFFF0000"/>
        <rFont val="Calibri"/>
        <family val="2"/>
        <scheme val="minor"/>
      </rPr>
      <t>: Input data in skin coloured cells only.</t>
    </r>
  </si>
  <si>
    <t>Total Budget - ECE</t>
  </si>
  <si>
    <t>Total Budget - Education</t>
  </si>
  <si>
    <t>ECE as Prop. of Education</t>
  </si>
  <si>
    <t>ECE Budget as Proportion of Education Budget vis-à-vis Policy Options</t>
  </si>
  <si>
    <t>Share of ECE in Edu Budget</t>
  </si>
  <si>
    <t>8**</t>
  </si>
  <si>
    <t>2*</t>
  </si>
  <si>
    <t>** O&amp;M stands for Operations &amp; Maintenance</t>
  </si>
  <si>
    <t>* Caregiver for this tool refers to human resource working in ECE schools and centers that is not considered teaching 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</si>
</sst>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9" fillId="0" borderId="0" xfId="0" applyFont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right"/>
    </xf>
    <xf numFmtId="0" fontId="8" fillId="6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 applyAlignment="1">
      <alignment horizontal="center"/>
    </xf>
    <xf numFmtId="0" fontId="8" fillId="0" borderId="0" xfId="0" applyFont="1"/>
    <xf numFmtId="0" fontId="1" fillId="4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3" fontId="8" fillId="6" borderId="1" xfId="0" applyNumberFormat="1" applyFont="1" applyFill="1" applyBorder="1" applyAlignment="1">
      <alignment horizontal="center"/>
    </xf>
    <xf numFmtId="10" fontId="0" fillId="0" borderId="0" xfId="1" applyNumberFormat="1" applyFont="1"/>
    <xf numFmtId="3" fontId="8" fillId="0" borderId="1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4" fontId="8" fillId="1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8" fillId="6" borderId="1" xfId="0" applyNumberFormat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2" fillId="0" borderId="0" xfId="0" applyFont="1"/>
    <xf numFmtId="9" fontId="8" fillId="14" borderId="1" xfId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3" fontId="0" fillId="16" borderId="1" xfId="0" applyNumberFormat="1" applyFill="1" applyBorder="1" applyAlignment="1">
      <alignment horizontal="center"/>
    </xf>
    <xf numFmtId="164" fontId="0" fillId="16" borderId="1" xfId="1" applyNumberFormat="1" applyFont="1" applyFill="1" applyBorder="1" applyAlignment="1">
      <alignment horizontal="center"/>
    </xf>
    <xf numFmtId="9" fontId="0" fillId="16" borderId="1" xfId="1" applyFont="1" applyFill="1" applyBorder="1" applyAlignment="1">
      <alignment horizontal="center"/>
    </xf>
    <xf numFmtId="10" fontId="0" fillId="16" borderId="1" xfId="1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3" fontId="0" fillId="0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3" fontId="0" fillId="5" borderId="1" xfId="0" applyNumberFormat="1" applyFill="1" applyBorder="1" applyAlignment="1" applyProtection="1">
      <alignment horizontal="center"/>
      <protection locked="0"/>
    </xf>
    <xf numFmtId="10" fontId="0" fillId="16" borderId="1" xfId="1" applyNumberFormat="1" applyFont="1" applyFill="1" applyBorder="1" applyAlignment="1" applyProtection="1">
      <alignment horizontal="center"/>
      <protection locked="0"/>
    </xf>
    <xf numFmtId="9" fontId="8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3" fontId="0" fillId="16" borderId="1" xfId="0" applyNumberFormat="1" applyFill="1" applyBorder="1" applyAlignment="1" applyProtection="1">
      <alignment horizontal="center"/>
      <protection locked="0"/>
    </xf>
    <xf numFmtId="9" fontId="0" fillId="5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0" xfId="0" applyNumberFormat="1"/>
    <xf numFmtId="0" fontId="4" fillId="0" borderId="0" xfId="0" applyFont="1" applyAlignment="1">
      <alignment horizontal="left"/>
    </xf>
    <xf numFmtId="10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1" xfId="1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</xf>
    <xf numFmtId="3" fontId="0" fillId="5" borderId="0" xfId="0" applyNumberFormat="1" applyFill="1" applyAlignment="1" applyProtection="1">
      <alignment horizontal="center"/>
    </xf>
    <xf numFmtId="3" fontId="0" fillId="5" borderId="0" xfId="0" applyNumberFormat="1" applyFill="1" applyAlignment="1" applyProtection="1">
      <alignment horizontal="center"/>
      <protection locked="0"/>
    </xf>
    <xf numFmtId="0" fontId="16" fillId="0" borderId="0" xfId="0" applyFont="1"/>
    <xf numFmtId="9" fontId="0" fillId="5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3" fontId="0" fillId="2" borderId="0" xfId="0" applyNumberFormat="1" applyFill="1" applyAlignment="1" applyProtection="1">
      <alignment horizontal="center"/>
    </xf>
    <xf numFmtId="9" fontId="0" fillId="2" borderId="0" xfId="0" applyNumberFormat="1" applyFill="1" applyAlignment="1" applyProtection="1">
      <alignment horizontal="center"/>
    </xf>
    <xf numFmtId="10" fontId="0" fillId="2" borderId="0" xfId="0" applyNumberFormat="1" applyFill="1" applyAlignment="1" applyProtection="1">
      <alignment horizontal="center"/>
      <protection locked="0"/>
    </xf>
    <xf numFmtId="9" fontId="0" fillId="2" borderId="1" xfId="1" applyFont="1" applyFill="1" applyBorder="1" applyAlignment="1" applyProtection="1">
      <alignment horizontal="center"/>
      <protection locked="0"/>
    </xf>
    <xf numFmtId="10" fontId="0" fillId="0" borderId="1" xfId="1" applyNumberFormat="1" applyFont="1" applyFill="1" applyBorder="1" applyAlignment="1">
      <alignment horizontal="center"/>
    </xf>
    <xf numFmtId="9" fontId="0" fillId="0" borderId="1" xfId="1" applyFont="1" applyFill="1" applyBorder="1" applyAlignment="1" applyProtection="1">
      <alignment horizontal="center"/>
      <protection locked="0"/>
    </xf>
    <xf numFmtId="3" fontId="8" fillId="3" borderId="1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4" xfId="0" applyFont="1" applyFill="1" applyBorder="1" applyAlignment="1" applyProtection="1">
      <alignment horizontal="center" vertical="center"/>
      <protection locked="0"/>
    </xf>
    <xf numFmtId="0" fontId="1" fillId="12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ECE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942003929740064E-2"/>
          <c:y val="0.10792567706653222"/>
          <c:w val="0.94811599214051989"/>
          <c:h val="0.73582681371225733"/>
        </c:manualLayout>
      </c:layout>
      <c:lineChart>
        <c:grouping val="standard"/>
        <c:varyColors val="0"/>
        <c:ser>
          <c:idx val="1"/>
          <c:order val="0"/>
          <c:tx>
            <c:strRef>
              <c:f>Dashboard!$N$4</c:f>
              <c:strCache>
                <c:ptCount val="1"/>
                <c:pt idx="0">
                  <c:v>Salary Budget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Dashboard!$O$3:$W$3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Dashboard!$O$4:$W$4</c:f>
              <c:numCache>
                <c:formatCode>#,##0.00</c:formatCode>
                <c:ptCount val="9"/>
                <c:pt idx="0">
                  <c:v>133.18238506750782</c:v>
                </c:pt>
                <c:pt idx="1">
                  <c:v>135.49882002984063</c:v>
                </c:pt>
                <c:pt idx="2">
                  <c:v>138.51013781721633</c:v>
                </c:pt>
                <c:pt idx="3">
                  <c:v>141.52466409970799</c:v>
                </c:pt>
                <c:pt idx="4">
                  <c:v>144.15984555840788</c:v>
                </c:pt>
                <c:pt idx="5">
                  <c:v>144.31748859336824</c:v>
                </c:pt>
                <c:pt idx="6">
                  <c:v>147.05216449590279</c:v>
                </c:pt>
                <c:pt idx="7">
                  <c:v>149.50678851793722</c:v>
                </c:pt>
                <c:pt idx="8">
                  <c:v>152.24683623521187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89E-80CB-2DED3C9B3244}"/>
            </c:ext>
          </c:extLst>
        </c:ser>
        <c:ser>
          <c:idx val="2"/>
          <c:order val="1"/>
          <c:tx>
            <c:strRef>
              <c:f>Dashboard!$N$5</c:f>
              <c:strCache>
                <c:ptCount val="1"/>
                <c:pt idx="0">
                  <c:v>Non-Salary Budget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6406798929533961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A-489E-80CB-2DED3C9B3244}"/>
                </c:ext>
              </c:extLst>
            </c:dLbl>
            <c:dLbl>
              <c:idx val="1"/>
              <c:layout>
                <c:manualLayout>
                  <c:x val="-4.3339209203038472E-2"/>
                  <c:y val="2.8322860424094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A-489E-80CB-2DED3C9B3244}"/>
                </c:ext>
              </c:extLst>
            </c:dLbl>
            <c:dLbl>
              <c:idx val="2"/>
              <c:layout>
                <c:manualLayout>
                  <c:x val="-4.3339209203038513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A-489E-80CB-2DED3C9B3244}"/>
                </c:ext>
              </c:extLst>
            </c:dLbl>
            <c:dLbl>
              <c:idx val="3"/>
              <c:layout>
                <c:manualLayout>
                  <c:x val="-4.3339209203038472E-2"/>
                  <c:y val="2.8322860424094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A-489E-80CB-2DED3C9B3244}"/>
                </c:ext>
              </c:extLst>
            </c:dLbl>
            <c:dLbl>
              <c:idx val="4"/>
              <c:layout>
                <c:manualLayout>
                  <c:x val="-4.3339209203038555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A-489E-80CB-2DED3C9B3244}"/>
                </c:ext>
              </c:extLst>
            </c:dLbl>
            <c:dLbl>
              <c:idx val="5"/>
              <c:layout>
                <c:manualLayout>
                  <c:x val="-4.3339209203038472E-2"/>
                  <c:y val="2.49936889919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A-489E-80CB-2DED3C9B3244}"/>
                </c:ext>
              </c:extLst>
            </c:dLbl>
            <c:dLbl>
              <c:idx val="6"/>
              <c:layout>
                <c:manualLayout>
                  <c:x val="-4.3339209203038555E-2"/>
                  <c:y val="2.49936889919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A-489E-80CB-2DED3C9B3244}"/>
                </c:ext>
              </c:extLst>
            </c:dLbl>
            <c:dLbl>
              <c:idx val="7"/>
              <c:layout>
                <c:manualLayout>
                  <c:x val="-4.3339209203038638E-2"/>
                  <c:y val="2.49936889919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AA-489E-80CB-2DED3C9B3244}"/>
                </c:ext>
              </c:extLst>
            </c:dLbl>
            <c:dLbl>
              <c:idx val="8"/>
              <c:layout>
                <c:manualLayout>
                  <c:x val="-4.3339209203038472E-2"/>
                  <c:y val="2.83228604240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A-489E-80CB-2DED3C9B3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Dashboard!$O$3:$W$3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Dashboard!$O$5:$W$5</c:f>
              <c:numCache>
                <c:formatCode>#,##0.00</c:formatCode>
                <c:ptCount val="9"/>
                <c:pt idx="0">
                  <c:v>37.090774124309689</c:v>
                </c:pt>
                <c:pt idx="1">
                  <c:v>37.541802364841864</c:v>
                </c:pt>
                <c:pt idx="2">
                  <c:v>38.211261837922329</c:v>
                </c:pt>
                <c:pt idx="3">
                  <c:v>38.909736898889768</c:v>
                </c:pt>
                <c:pt idx="4">
                  <c:v>39.628530237649528</c:v>
                </c:pt>
                <c:pt idx="5">
                  <c:v>40.293958041386894</c:v>
                </c:pt>
                <c:pt idx="6">
                  <c:v>41.050561068053398</c:v>
                </c:pt>
                <c:pt idx="7">
                  <c:v>41.829090416019476</c:v>
                </c:pt>
                <c:pt idx="8">
                  <c:v>42.575239304564263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89E-80CB-2DED3C9B3244}"/>
            </c:ext>
          </c:extLst>
        </c:ser>
        <c:ser>
          <c:idx val="3"/>
          <c:order val="2"/>
          <c:tx>
            <c:strRef>
              <c:f>Dashboard!$N$6</c:f>
              <c:strCache>
                <c:ptCount val="1"/>
                <c:pt idx="0">
                  <c:v>Development Budget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Dashboard!$O$3:$W$3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Dashboard!$O$6:$W$6</c:f>
              <c:numCache>
                <c:formatCode>#,##0.00</c:formatCode>
                <c:ptCount val="9"/>
                <c:pt idx="0">
                  <c:v>51.378860043233587</c:v>
                </c:pt>
                <c:pt idx="1">
                  <c:v>53.099203346220975</c:v>
                </c:pt>
                <c:pt idx="2">
                  <c:v>56.191190745026844</c:v>
                </c:pt>
                <c:pt idx="3">
                  <c:v>59.036232816215993</c:v>
                </c:pt>
                <c:pt idx="4">
                  <c:v>61.062527213225508</c:v>
                </c:pt>
                <c:pt idx="5">
                  <c:v>58.163290642303451</c:v>
                </c:pt>
                <c:pt idx="6">
                  <c:v>60.628904090377866</c:v>
                </c:pt>
                <c:pt idx="7">
                  <c:v>62.217143543074386</c:v>
                </c:pt>
                <c:pt idx="8">
                  <c:v>64.170431847286835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89E-80CB-2DED3C9B3244}"/>
            </c:ext>
          </c:extLst>
        </c:ser>
        <c:ser>
          <c:idx val="4"/>
          <c:order val="3"/>
          <c:tx>
            <c:strRef>
              <c:f>Dashboard!$N$7</c:f>
              <c:strCache>
                <c:ptCount val="1"/>
                <c:pt idx="0">
                  <c:v>Total Budget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Dashboard!$O$3:$W$3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Dashboard!$O$7:$W$7</c:f>
              <c:numCache>
                <c:formatCode>#,##0.00</c:formatCode>
                <c:ptCount val="9"/>
                <c:pt idx="0">
                  <c:v>221.65201923505109</c:v>
                </c:pt>
                <c:pt idx="1">
                  <c:v>226.13982574090343</c:v>
                </c:pt>
                <c:pt idx="2">
                  <c:v>232.9125904001655</c:v>
                </c:pt>
                <c:pt idx="3">
                  <c:v>239.47063381481374</c:v>
                </c:pt>
                <c:pt idx="4">
                  <c:v>244.85090300928292</c:v>
                </c:pt>
                <c:pt idx="5">
                  <c:v>242.77473727705859</c:v>
                </c:pt>
                <c:pt idx="6">
                  <c:v>248.73162965433403</c:v>
                </c:pt>
                <c:pt idx="7">
                  <c:v>253.55302247703105</c:v>
                </c:pt>
                <c:pt idx="8">
                  <c:v>258.99250738706297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89E-80CB-2DED3C9B32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3978400"/>
        <c:axId val="933980064"/>
      </c:lineChart>
      <c:catAx>
        <c:axId val="93397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980064"/>
        <c:crosses val="autoZero"/>
        <c:auto val="1"/>
        <c:lblAlgn val="ctr"/>
        <c:lblOffset val="100"/>
        <c:noMultiLvlLbl val="0"/>
      </c:catAx>
      <c:valAx>
        <c:axId val="933980064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93397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11672360475391E-2"/>
          <c:y val="0.92048584989330862"/>
          <c:w val="0.95049385441911916"/>
          <c:h val="5.9930393438939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50000"/>
      </a:schemeClr>
    </a:solidFill>
    <a:ln>
      <a:noFill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Public Share of ECE Enrolment (3-5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Enrolment!$A$45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799957765270891E-2"/>
                  <c:y val="-4.35513830002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EA2-4478-AB4C-FA86EBB2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Enrolment!$C$44:$L$44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Enrolment!$C$45:$L$45</c:f>
              <c:numCache>
                <c:formatCode>0%</c:formatCode>
                <c:ptCount val="10"/>
                <c:pt idx="0">
                  <c:v>0.41833543092470266</c:v>
                </c:pt>
                <c:pt idx="1">
                  <c:v>0.37800181807784439</c:v>
                </c:pt>
                <c:pt idx="2">
                  <c:v>0.44427408390241974</c:v>
                </c:pt>
                <c:pt idx="3">
                  <c:v>0.44227292524464673</c:v>
                </c:pt>
                <c:pt idx="4">
                  <c:v>0.44095814171425529</c:v>
                </c:pt>
                <c:pt idx="5">
                  <c:v>0.43953889672763369</c:v>
                </c:pt>
                <c:pt idx="6">
                  <c:v>0.4380300164516277</c:v>
                </c:pt>
                <c:pt idx="7">
                  <c:v>0.43643791496826317</c:v>
                </c:pt>
                <c:pt idx="8">
                  <c:v>0.43321273942214278</c:v>
                </c:pt>
                <c:pt idx="9">
                  <c:v>0.4313954480338183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A2-4478-AB4C-FA86EBB2FBE1}"/>
            </c:ext>
          </c:extLst>
        </c:ser>
        <c:ser>
          <c:idx val="2"/>
          <c:order val="1"/>
          <c:tx>
            <c:strRef>
              <c:f>Enrolment!$A$46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39640812826574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A2-4478-AB4C-FA86EBB2FBE1}"/>
                </c:ext>
              </c:extLst>
            </c:dLbl>
            <c:dLbl>
              <c:idx val="1"/>
              <c:layout>
                <c:manualLayout>
                  <c:x val="-4.6419006907937911E-2"/>
                  <c:y val="3.849989905108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2-4478-AB4C-FA86EBB2FBE1}"/>
                </c:ext>
              </c:extLst>
            </c:dLbl>
            <c:dLbl>
              <c:idx val="2"/>
              <c:layout>
                <c:manualLayout>
                  <c:x val="-4.133964081282656E-2"/>
                  <c:y val="4.362810417928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A2-4478-AB4C-FA86EBB2FBE1}"/>
                </c:ext>
              </c:extLst>
            </c:dLbl>
            <c:dLbl>
              <c:idx val="3"/>
              <c:layout>
                <c:manualLayout>
                  <c:x val="-4.641900690793789E-2"/>
                  <c:y val="3.849989905108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A2-4478-AB4C-FA86EBB2FBE1}"/>
                </c:ext>
              </c:extLst>
            </c:dLbl>
            <c:dLbl>
              <c:idx val="4"/>
              <c:layout>
                <c:manualLayout>
                  <c:x val="-4.13396408128266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A2-4478-AB4C-FA86EBB2FBE1}"/>
                </c:ext>
              </c:extLst>
            </c:dLbl>
            <c:dLbl>
              <c:idx val="5"/>
              <c:layout>
                <c:manualLayout>
                  <c:x val="-4.133964081282665E-2"/>
                  <c:y val="2.824348879466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2-4478-AB4C-FA86EBB2FBE1}"/>
                </c:ext>
              </c:extLst>
            </c:dLbl>
            <c:dLbl>
              <c:idx val="6"/>
              <c:layout>
                <c:manualLayout>
                  <c:x val="-4.133964081282656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A2-4478-AB4C-FA86EBB2FBE1}"/>
                </c:ext>
              </c:extLst>
            </c:dLbl>
            <c:dLbl>
              <c:idx val="7"/>
              <c:layout>
                <c:manualLayout>
                  <c:x val="-4.133964081282665E-2"/>
                  <c:y val="4.3628104179285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A2-4478-AB4C-FA86EBB2FBE1}"/>
                </c:ext>
              </c:extLst>
            </c:dLbl>
            <c:dLbl>
              <c:idx val="8"/>
              <c:layout>
                <c:manualLayout>
                  <c:x val="-4.133964081282656E-2"/>
                  <c:y val="4.8756309307490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A2-4478-AB4C-FA86EBB2FBE1}"/>
                </c:ext>
              </c:extLst>
            </c:dLbl>
            <c:dLbl>
              <c:idx val="9"/>
              <c:layout>
                <c:manualLayout>
                  <c:x val="-4.133964081282656E-2"/>
                  <c:y val="2.824348879466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A2-4478-AB4C-FA86EBB2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Enrolment!$C$44:$L$44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Enrolment!$C$46:$L$46</c:f>
              <c:numCache>
                <c:formatCode>0%</c:formatCode>
                <c:ptCount val="10"/>
                <c:pt idx="0">
                  <c:v>0.35133419027117435</c:v>
                </c:pt>
                <c:pt idx="1">
                  <c:v>0.31016481441631993</c:v>
                </c:pt>
                <c:pt idx="2">
                  <c:v>0.35154389191406082</c:v>
                </c:pt>
                <c:pt idx="3">
                  <c:v>0.35044438771086706</c:v>
                </c:pt>
                <c:pt idx="4">
                  <c:v>0.35343080429910984</c:v>
                </c:pt>
                <c:pt idx="5">
                  <c:v>0.35654545151819184</c:v>
                </c:pt>
                <c:pt idx="6">
                  <c:v>0.35931607163175128</c:v>
                </c:pt>
                <c:pt idx="7">
                  <c:v>0.36326870730759825</c:v>
                </c:pt>
                <c:pt idx="8">
                  <c:v>0.36719956797513831</c:v>
                </c:pt>
                <c:pt idx="9">
                  <c:v>0.37110755268436901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2-4478-AB4C-FA86EBB2FBE1}"/>
            </c:ext>
          </c:extLst>
        </c:ser>
        <c:ser>
          <c:idx val="3"/>
          <c:order val="2"/>
          <c:tx>
            <c:strRef>
              <c:f>Enrolment!$A$47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39640812826574E-2"/>
                  <c:y val="-2.52574197456087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A2-4478-AB4C-FA86EBB2FBE1}"/>
                </c:ext>
              </c:extLst>
            </c:dLbl>
            <c:dLbl>
              <c:idx val="1"/>
              <c:layout>
                <c:manualLayout>
                  <c:x val="-4.1339640812826581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A2-4478-AB4C-FA86EBB2FBE1}"/>
                </c:ext>
              </c:extLst>
            </c:dLbl>
            <c:dLbl>
              <c:idx val="2"/>
              <c:layout>
                <c:manualLayout>
                  <c:x val="-4.133964081282656E-2"/>
                  <c:y val="-7.65394710276604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A2-4478-AB4C-FA86EBB2FBE1}"/>
                </c:ext>
              </c:extLst>
            </c:dLbl>
            <c:dLbl>
              <c:idx val="3"/>
              <c:layout>
                <c:manualLayout>
                  <c:x val="-4.133964081282656E-2"/>
                  <c:y val="-2.52574197456087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A2-4478-AB4C-FA86EBB2FBE1}"/>
                </c:ext>
              </c:extLst>
            </c:dLbl>
            <c:dLbl>
              <c:idx val="4"/>
              <c:layout>
                <c:manualLayout>
                  <c:x val="-4.133964081282665E-2"/>
                  <c:y val="-1.7910357359176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A2-4478-AB4C-FA86EBB2FBE1}"/>
                </c:ext>
              </c:extLst>
            </c:dLbl>
            <c:dLbl>
              <c:idx val="5"/>
              <c:layout>
                <c:manualLayout>
                  <c:x val="-4.133964081282665E-2"/>
                  <c:y val="-1.2782152230971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A2-4478-AB4C-FA86EBB2FBE1}"/>
                </c:ext>
              </c:extLst>
            </c:dLbl>
            <c:dLbl>
              <c:idx val="6"/>
              <c:layout>
                <c:manualLayout>
                  <c:x val="-4.133964081282656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A2-4478-AB4C-FA86EBB2FBE1}"/>
                </c:ext>
              </c:extLst>
            </c:dLbl>
            <c:dLbl>
              <c:idx val="7"/>
              <c:layout>
                <c:manualLayout>
                  <c:x val="-4.133964081282665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A2-4478-AB4C-FA86EBB2FBE1}"/>
                </c:ext>
              </c:extLst>
            </c:dLbl>
            <c:dLbl>
              <c:idx val="8"/>
              <c:layout>
                <c:manualLayout>
                  <c:x val="-4.133964081282656E-2"/>
                  <c:y val="-7.65394710276604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EA2-4478-AB4C-FA86EBB2FBE1}"/>
                </c:ext>
              </c:extLst>
            </c:dLbl>
            <c:dLbl>
              <c:idx val="9"/>
              <c:layout>
                <c:manualLayout>
                  <c:x val="-1.3403127289714243E-2"/>
                  <c:y val="-7.65394710276604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EA2-4478-AB4C-FA86EBB2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Enrolment!$C$44:$L$44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Enrolment!$C$47:$L$47</c:f>
              <c:numCache>
                <c:formatCode>0%</c:formatCode>
                <c:ptCount val="10"/>
                <c:pt idx="0">
                  <c:v>0.38548835902711609</c:v>
                </c:pt>
                <c:pt idx="1">
                  <c:v>0.34635765879856772</c:v>
                </c:pt>
                <c:pt idx="2">
                  <c:v>0.40288101926119851</c:v>
                </c:pt>
                <c:pt idx="3">
                  <c:v>0.40144276556760983</c:v>
                </c:pt>
                <c:pt idx="4">
                  <c:v>0.40208932846556744</c:v>
                </c:pt>
                <c:pt idx="5">
                  <c:v>0.40272354338943706</c:v>
                </c:pt>
                <c:pt idx="6">
                  <c:v>0.4030749705386108</c:v>
                </c:pt>
                <c:pt idx="7">
                  <c:v>0.40387394809796917</c:v>
                </c:pt>
                <c:pt idx="8">
                  <c:v>0.40372278589397664</c:v>
                </c:pt>
                <c:pt idx="9">
                  <c:v>0.40425642723833122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A2-4478-AB4C-FA86EBB2FBE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Additional ECE Teachers</a:t>
            </a:r>
            <a:r>
              <a:rPr lang="en-US" sz="1100" baseline="0"/>
              <a:t> Required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'Human Resource'!$B$66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6.2015503875969746E-3"/>
                  <c:y val="9.40160079361476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1-47FD-9127-45F3D4133BA9}"/>
                </c:ext>
              </c:extLst>
            </c:dLbl>
            <c:dLbl>
              <c:idx val="4"/>
              <c:layout>
                <c:manualLayout>
                  <c:x val="-8.2687338501292746E-3"/>
                  <c:y val="5.12820512820503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01-47FD-9127-45F3D4133BA9}"/>
                </c:ext>
              </c:extLst>
            </c:dLbl>
            <c:dLbl>
              <c:idx val="5"/>
              <c:layout>
                <c:manualLayout>
                  <c:x val="-1.6537467700258397E-2"/>
                  <c:y val="1.0256410256410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1-47FD-9127-45F3D4133BA9}"/>
                </c:ext>
              </c:extLst>
            </c:dLbl>
            <c:dLbl>
              <c:idx val="6"/>
              <c:layout>
                <c:manualLayout>
                  <c:x val="-1.0335917312661499E-2"/>
                  <c:y val="1.53846153846153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1-47FD-9127-45F3D4133BA9}"/>
                </c:ext>
              </c:extLst>
            </c:dLbl>
            <c:dLbl>
              <c:idx val="7"/>
              <c:layout>
                <c:manualLayout>
                  <c:x val="-1.2403100775193949E-2"/>
                  <c:y val="1.5384615384615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01-47FD-9127-45F3D4133BA9}"/>
                </c:ext>
              </c:extLst>
            </c:dLbl>
            <c:dLbl>
              <c:idx val="8"/>
              <c:layout>
                <c:manualLayout>
                  <c:x val="-1.2403100775193798E-2"/>
                  <c:y val="2.56410256410255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1-47FD-9127-45F3D4133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'Human Resource'!$D$56:$L$56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'Human Resource'!$D$66:$L$66</c:f>
              <c:numCache>
                <c:formatCode>#,##0</c:formatCode>
                <c:ptCount val="9"/>
                <c:pt idx="0">
                  <c:v>341.72222222222251</c:v>
                </c:pt>
                <c:pt idx="1">
                  <c:v>401.49771111111153</c:v>
                </c:pt>
                <c:pt idx="2">
                  <c:v>527.54075288888964</c:v>
                </c:pt>
                <c:pt idx="3">
                  <c:v>575.921252913334</c:v>
                </c:pt>
                <c:pt idx="4">
                  <c:v>601.41615484855583</c:v>
                </c:pt>
                <c:pt idx="5">
                  <c:v>505.51558416004394</c:v>
                </c:pt>
                <c:pt idx="6">
                  <c:v>534.21291395181288</c:v>
                </c:pt>
                <c:pt idx="7">
                  <c:v>502.54713063070193</c:v>
                </c:pt>
                <c:pt idx="8">
                  <c:v>490.76698958300562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1-47FD-9127-45F3D4133BA9}"/>
            </c:ext>
          </c:extLst>
        </c:ser>
        <c:ser>
          <c:idx val="1"/>
          <c:order val="1"/>
          <c:tx>
            <c:strRef>
              <c:f>'Human Resource'!$B$67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3399"/>
            </a:solidFill>
            <a:ln>
              <a:solidFill>
                <a:srgbClr val="FF3399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4.1343669250645991E-3"/>
                  <c:y val="1.0256410256410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01-47FD-9127-45F3D4133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'Human Resource'!$D$56:$L$56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'Human Resource'!$D$67:$L$67</c:f>
              <c:numCache>
                <c:formatCode>#,##0</c:formatCode>
                <c:ptCount val="9"/>
                <c:pt idx="0">
                  <c:v>309.33777777777789</c:v>
                </c:pt>
                <c:pt idx="1">
                  <c:v>366.97515555555583</c:v>
                </c:pt>
                <c:pt idx="2">
                  <c:v>448.693073925926</c:v>
                </c:pt>
                <c:pt idx="3">
                  <c:v>549.7578346607412</c:v>
                </c:pt>
                <c:pt idx="4">
                  <c:v>576.46069690515606</c:v>
                </c:pt>
                <c:pt idx="5">
                  <c:v>401.5987756906228</c:v>
                </c:pt>
                <c:pt idx="6">
                  <c:v>463.56165728966585</c:v>
                </c:pt>
                <c:pt idx="7">
                  <c:v>500.33821194631628</c:v>
                </c:pt>
                <c:pt idx="8">
                  <c:v>539.96391751757051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1-47FD-9127-45F3D4133BA9}"/>
            </c:ext>
          </c:extLst>
        </c:ser>
        <c:ser>
          <c:idx val="2"/>
          <c:order val="2"/>
          <c:tx>
            <c:strRef>
              <c:f>'Human Resource'!$B$68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'Human Resource'!$D$56:$L$56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'Human Resource'!$D$68:$L$68</c:f>
              <c:numCache>
                <c:formatCode>#,##0</c:formatCode>
                <c:ptCount val="9"/>
                <c:pt idx="0">
                  <c:v>651.06000000000029</c:v>
                </c:pt>
                <c:pt idx="1">
                  <c:v>768.47286666666741</c:v>
                </c:pt>
                <c:pt idx="2">
                  <c:v>976.23382681481576</c:v>
                </c:pt>
                <c:pt idx="3">
                  <c:v>1125.6790875740753</c:v>
                </c:pt>
                <c:pt idx="4">
                  <c:v>1177.8768517537119</c:v>
                </c:pt>
                <c:pt idx="5">
                  <c:v>907.1143598506668</c:v>
                </c:pt>
                <c:pt idx="6">
                  <c:v>997.77457124147872</c:v>
                </c:pt>
                <c:pt idx="7">
                  <c:v>1002.8853425770182</c:v>
                </c:pt>
                <c:pt idx="8">
                  <c:v>1030.7309071005761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1-47FD-9127-45F3D4133B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546688"/>
        <c:axId val="1102547520"/>
      </c:barChart>
      <c:catAx>
        <c:axId val="110254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547520"/>
        <c:crosses val="autoZero"/>
        <c:auto val="1"/>
        <c:lblAlgn val="ctr"/>
        <c:lblOffset val="100"/>
        <c:noMultiLvlLbl val="0"/>
      </c:catAx>
      <c:valAx>
        <c:axId val="11025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54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Additional ECE Classrooms</a:t>
            </a:r>
            <a:r>
              <a:rPr lang="en-US" sz="1100" baseline="0"/>
              <a:t> Required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'Classrooms &amp; Materials'!$B$69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6.2015503875969746E-3"/>
                  <c:y val="9.40160079361476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37-4781-BF69-59A90FB7F5A6}"/>
                </c:ext>
              </c:extLst>
            </c:dLbl>
            <c:dLbl>
              <c:idx val="4"/>
              <c:layout>
                <c:manualLayout>
                  <c:x val="-8.2687338501292746E-3"/>
                  <c:y val="5.12820512820503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37-4781-BF69-59A90FB7F5A6}"/>
                </c:ext>
              </c:extLst>
            </c:dLbl>
            <c:dLbl>
              <c:idx val="5"/>
              <c:layout>
                <c:manualLayout>
                  <c:x val="-1.6537467700258397E-2"/>
                  <c:y val="1.0256410256410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37-4781-BF69-59A90FB7F5A6}"/>
                </c:ext>
              </c:extLst>
            </c:dLbl>
            <c:dLbl>
              <c:idx val="6"/>
              <c:layout>
                <c:manualLayout>
                  <c:x val="-1.0335917312661499E-2"/>
                  <c:y val="1.53846153846153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37-4781-BF69-59A90FB7F5A6}"/>
                </c:ext>
              </c:extLst>
            </c:dLbl>
            <c:dLbl>
              <c:idx val="7"/>
              <c:layout>
                <c:manualLayout>
                  <c:x val="-1.2403100775193949E-2"/>
                  <c:y val="1.5384615384615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37-4781-BF69-59A90FB7F5A6}"/>
                </c:ext>
              </c:extLst>
            </c:dLbl>
            <c:dLbl>
              <c:idx val="8"/>
              <c:layout>
                <c:manualLayout>
                  <c:x val="-1.2403100775193798E-2"/>
                  <c:y val="2.56410256410255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37-4781-BF69-59A90FB7F5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'Classrooms &amp; Materials'!$D$59:$L$59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'Classrooms &amp; Materials'!$D$69:$L$69</c:f>
              <c:numCache>
                <c:formatCode>#,##0</c:formatCode>
                <c:ptCount val="9"/>
                <c:pt idx="0">
                  <c:v>391.0500000000003</c:v>
                </c:pt>
                <c:pt idx="1">
                  <c:v>444.84794000000045</c:v>
                </c:pt>
                <c:pt idx="2">
                  <c:v>558.28667760000076</c:v>
                </c:pt>
                <c:pt idx="3">
                  <c:v>601.82912762200078</c:v>
                </c:pt>
                <c:pt idx="4">
                  <c:v>624.77453936370023</c:v>
                </c:pt>
                <c:pt idx="5">
                  <c:v>454.96402574403953</c:v>
                </c:pt>
                <c:pt idx="6">
                  <c:v>480.79162255663152</c:v>
                </c:pt>
                <c:pt idx="7">
                  <c:v>452.29241756763179</c:v>
                </c:pt>
                <c:pt idx="8">
                  <c:v>441.69029062470509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37-4781-BF69-59A90FB7F5A6}"/>
            </c:ext>
          </c:extLst>
        </c:ser>
        <c:ser>
          <c:idx val="1"/>
          <c:order val="1"/>
          <c:tx>
            <c:strRef>
              <c:f>'Classrooms &amp; Materials'!$B$70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3399"/>
            </a:solidFill>
            <a:ln>
              <a:solidFill>
                <a:srgbClr val="FF3399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4.1343669250645991E-3"/>
                  <c:y val="1.0256410256410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37-4781-BF69-59A90FB7F5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'Classrooms &amp; Materials'!$D$59:$L$59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'Classrooms &amp; Materials'!$D$70:$L$70</c:f>
              <c:numCache>
                <c:formatCode>#,##0</c:formatCode>
                <c:ptCount val="9"/>
                <c:pt idx="0">
                  <c:v>337.1040000000001</c:v>
                </c:pt>
                <c:pt idx="1">
                  <c:v>388.97764000000024</c:v>
                </c:pt>
                <c:pt idx="2">
                  <c:v>462.5237665333334</c:v>
                </c:pt>
                <c:pt idx="3">
                  <c:v>553.48205119466706</c:v>
                </c:pt>
                <c:pt idx="4">
                  <c:v>577.51462721464054</c:v>
                </c:pt>
                <c:pt idx="5">
                  <c:v>361.4388981215605</c:v>
                </c:pt>
                <c:pt idx="6">
                  <c:v>417.20549156069927</c:v>
                </c:pt>
                <c:pt idx="7">
                  <c:v>450.30439075168465</c:v>
                </c:pt>
                <c:pt idx="8">
                  <c:v>485.96752576581343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37-4781-BF69-59A90FB7F5A6}"/>
            </c:ext>
          </c:extLst>
        </c:ser>
        <c:ser>
          <c:idx val="2"/>
          <c:order val="2"/>
          <c:tx>
            <c:strRef>
              <c:f>'Classrooms &amp; Materials'!$B$71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'Classrooms &amp; Materials'!$D$59:$L$59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'Classrooms &amp; Materials'!$D$71:$L$71</c:f>
              <c:numCache>
                <c:formatCode>#,##0</c:formatCode>
                <c:ptCount val="9"/>
                <c:pt idx="0">
                  <c:v>728.15400000000045</c:v>
                </c:pt>
                <c:pt idx="1">
                  <c:v>833.82558000000063</c:v>
                </c:pt>
                <c:pt idx="2">
                  <c:v>1020.8104441333342</c:v>
                </c:pt>
                <c:pt idx="3">
                  <c:v>1155.3111788166677</c:v>
                </c:pt>
                <c:pt idx="4">
                  <c:v>1202.2891665783409</c:v>
                </c:pt>
                <c:pt idx="5">
                  <c:v>816.40292386559997</c:v>
                </c:pt>
                <c:pt idx="6">
                  <c:v>897.99711411733074</c:v>
                </c:pt>
                <c:pt idx="7">
                  <c:v>902.59680831931644</c:v>
                </c:pt>
                <c:pt idx="8">
                  <c:v>927.65781639051841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37-4781-BF69-59A90FB7F5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546688"/>
        <c:axId val="1102547520"/>
      </c:barChart>
      <c:catAx>
        <c:axId val="110254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547520"/>
        <c:crosses val="autoZero"/>
        <c:auto val="1"/>
        <c:lblAlgn val="ctr"/>
        <c:lblOffset val="100"/>
        <c:noMultiLvlLbl val="0"/>
      </c:catAx>
      <c:valAx>
        <c:axId val="11025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54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ECE Net Enrolment Rates (3-5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936629055388695E-2"/>
                  <c:y val="5.3884514435695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C4E-439A-B3D9-C60481A43E9C}"/>
                </c:ext>
              </c:extLst>
            </c:dLbl>
            <c:dLbl>
              <c:idx val="1"/>
              <c:layout>
                <c:manualLayout>
                  <c:x val="-5.5936629055388695E-2"/>
                  <c:y val="3.3371693922875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C4E-439A-B3D9-C60481A43E9C}"/>
                </c:ext>
              </c:extLst>
            </c:dLbl>
            <c:dLbl>
              <c:idx val="2"/>
              <c:layout>
                <c:manualLayout>
                  <c:x val="-5.593662905538869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C4E-439A-B3D9-C60481A43E9C}"/>
                </c:ext>
              </c:extLst>
            </c:dLbl>
            <c:dLbl>
              <c:idx val="3"/>
              <c:layout>
                <c:manualLayout>
                  <c:x val="-5.593662905538869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C4E-439A-B3D9-C60481A43E9C}"/>
                </c:ext>
              </c:extLst>
            </c:dLbl>
            <c:dLbl>
              <c:idx val="4"/>
              <c:layout>
                <c:manualLayout>
                  <c:x val="-5.5936629055388758E-2"/>
                  <c:y val="3.849989905108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C4E-439A-B3D9-C60481A43E9C}"/>
                </c:ext>
              </c:extLst>
            </c:dLbl>
            <c:dLbl>
              <c:idx val="5"/>
              <c:layout>
                <c:manualLayout>
                  <c:x val="-5.5936629055388695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C4E-439A-B3D9-C60481A43E9C}"/>
                </c:ext>
              </c:extLst>
            </c:dLbl>
            <c:dLbl>
              <c:idx val="6"/>
              <c:layout>
                <c:manualLayout>
                  <c:x val="-5.593662905538882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C4E-439A-B3D9-C60481A43E9C}"/>
                </c:ext>
              </c:extLst>
            </c:dLbl>
            <c:dLbl>
              <c:idx val="7"/>
              <c:layout>
                <c:manualLayout>
                  <c:x val="-5.5936629055388695E-2"/>
                  <c:y val="3.849989905108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C4E-439A-B3D9-C60481A43E9C}"/>
                </c:ext>
              </c:extLst>
            </c:dLbl>
            <c:dLbl>
              <c:idx val="8"/>
              <c:layout>
                <c:manualLayout>
                  <c:x val="-5.5936629055388695E-2"/>
                  <c:y val="4.362810417928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C4E-439A-B3D9-C60481A43E9C}"/>
                </c:ext>
              </c:extLst>
            </c:dLbl>
            <c:dLbl>
              <c:idx val="9"/>
              <c:layout>
                <c:manualLayout>
                  <c:x val="-3.5994263603647485E-2"/>
                  <c:y val="5.3884514435695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C4E-439A-B3D9-C60481A43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Dashboard!$C$67:$L$67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Dashboard!$C$68:$L$68</c:f>
              <c:numCache>
                <c:formatCode>0%</c:formatCode>
                <c:ptCount val="10"/>
                <c:pt idx="0">
                  <c:v>0.35679345298986331</c:v>
                </c:pt>
                <c:pt idx="1">
                  <c:v>0.35151061120470289</c:v>
                </c:pt>
                <c:pt idx="2">
                  <c:v>0.29595469368033051</c:v>
                </c:pt>
                <c:pt idx="3">
                  <c:v>0.33520431251744631</c:v>
                </c:pt>
                <c:pt idx="4">
                  <c:v>0.38078554615608018</c:v>
                </c:pt>
                <c:pt idx="5">
                  <c:v>0.4646279536737048</c:v>
                </c:pt>
                <c:pt idx="6">
                  <c:v>0.5629993340130387</c:v>
                </c:pt>
                <c:pt idx="7">
                  <c:v>0.69302091906364971</c:v>
                </c:pt>
                <c:pt idx="8">
                  <c:v>0.71809514770824312</c:v>
                </c:pt>
                <c:pt idx="9">
                  <c:v>0.73887785528253969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C4E-439A-B3D9-C60481A43E9C}"/>
            </c:ext>
          </c:extLst>
        </c:ser>
        <c:ser>
          <c:idx val="1"/>
          <c:order val="1"/>
          <c:tx>
            <c:v>Female</c:v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936629055388695E-2"/>
                  <c:y val="-3.3294972743791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C4E-439A-B3D9-C60481A43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Dashboard!$C$67:$L$67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Dashboard!$C$69:$L$69</c:f>
              <c:numCache>
                <c:formatCode>0%</c:formatCode>
                <c:ptCount val="10"/>
                <c:pt idx="0">
                  <c:v>0.52346835992047169</c:v>
                </c:pt>
                <c:pt idx="1">
                  <c:v>0.45586422754687678</c:v>
                </c:pt>
                <c:pt idx="2">
                  <c:v>0.35169815957878026</c:v>
                </c:pt>
                <c:pt idx="3">
                  <c:v>0.41543269895819507</c:v>
                </c:pt>
                <c:pt idx="4">
                  <c:v>0.51943997168121658</c:v>
                </c:pt>
                <c:pt idx="5">
                  <c:v>0.5712398660729211</c:v>
                </c:pt>
                <c:pt idx="6">
                  <c:v>0.5991425028726286</c:v>
                </c:pt>
                <c:pt idx="7">
                  <c:v>0.62962024205512346</c:v>
                </c:pt>
                <c:pt idx="8">
                  <c:v>0.66168854618784889</c:v>
                </c:pt>
                <c:pt idx="9">
                  <c:v>0.69543101428689624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C4E-439A-B3D9-C60481A43E9C}"/>
            </c:ext>
          </c:extLst>
        </c:ser>
        <c:ser>
          <c:idx val="2"/>
          <c:order val="2"/>
          <c:tx>
            <c:v>Total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6245907405904178E-2"/>
                  <c:y val="-7.6539471027660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C4E-439A-B3D9-C60481A43E9C}"/>
                </c:ext>
              </c:extLst>
            </c:dLbl>
            <c:dLbl>
              <c:idx val="1"/>
              <c:layout>
                <c:manualLayout>
                  <c:x val="-5.5936629055388695E-2"/>
                  <c:y val="-1.7910357359176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C4E-439A-B3D9-C60481A43E9C}"/>
                </c:ext>
              </c:extLst>
            </c:dLbl>
            <c:dLbl>
              <c:idx val="2"/>
              <c:layout>
                <c:manualLayout>
                  <c:x val="-6.280948128906573E-2"/>
                  <c:y val="-1.7910357359176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C4E-439A-B3D9-C60481A43E9C}"/>
                </c:ext>
              </c:extLst>
            </c:dLbl>
            <c:dLbl>
              <c:idx val="3"/>
              <c:layout>
                <c:manualLayout>
                  <c:x val="-5.5936629055388695E-2"/>
                  <c:y val="-1.7910357359176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C4E-439A-B3D9-C60481A43E9C}"/>
                </c:ext>
              </c:extLst>
            </c:dLbl>
            <c:dLbl>
              <c:idx val="4"/>
              <c:layout>
                <c:manualLayout>
                  <c:x val="-5.5936629055388758E-2"/>
                  <c:y val="-2.3038562487381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C4E-439A-B3D9-C60481A43E9C}"/>
                </c:ext>
              </c:extLst>
            </c:dLbl>
            <c:dLbl>
              <c:idx val="5"/>
              <c:layout>
                <c:manualLayout>
                  <c:x val="-5.5936629055388695E-2"/>
                  <c:y val="-2.816676761558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C4E-439A-B3D9-C60481A43E9C}"/>
                </c:ext>
              </c:extLst>
            </c:dLbl>
            <c:dLbl>
              <c:idx val="6"/>
              <c:layout>
                <c:manualLayout>
                  <c:x val="-5.593662905538882E-2"/>
                  <c:y val="-4.35513830002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C4E-439A-B3D9-C60481A43E9C}"/>
                </c:ext>
              </c:extLst>
            </c:dLbl>
            <c:dLbl>
              <c:idx val="7"/>
              <c:layout>
                <c:manualLayout>
                  <c:x val="-5.5936629055388695E-2"/>
                  <c:y val="-3.3294972743791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C4E-439A-B3D9-C60481A43E9C}"/>
                </c:ext>
              </c:extLst>
            </c:dLbl>
            <c:dLbl>
              <c:idx val="8"/>
              <c:layout>
                <c:manualLayout>
                  <c:x val="-6.6245907405904289E-2"/>
                  <c:y val="-3.3294972743791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C4E-439A-B3D9-C60481A43E9C}"/>
                </c:ext>
              </c:extLst>
            </c:dLbl>
            <c:dLbl>
              <c:idx val="9"/>
              <c:layout>
                <c:manualLayout>
                  <c:x val="-3.9430689720485967E-2"/>
                  <c:y val="-2.303856248738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C4E-439A-B3D9-C60481A43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Dashboard!$C$67:$L$67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Dashboard!$C$70:$L$70</c:f>
              <c:numCache>
                <c:formatCode>0%</c:formatCode>
                <c:ptCount val="10"/>
                <c:pt idx="0">
                  <c:v>0.42278947676746764</c:v>
                </c:pt>
                <c:pt idx="1">
                  <c:v>0.39353292577936261</c:v>
                </c:pt>
                <c:pt idx="2">
                  <c:v>0.31848791334189724</c:v>
                </c:pt>
                <c:pt idx="3">
                  <c:v>0.3666913226694784</c:v>
                </c:pt>
                <c:pt idx="4">
                  <c:v>0.43199292782195575</c:v>
                </c:pt>
                <c:pt idx="5">
                  <c:v>0.50656602599400313</c:v>
                </c:pt>
                <c:pt idx="6">
                  <c:v>0.57849660073507791</c:v>
                </c:pt>
                <c:pt idx="7">
                  <c:v>0.66329528837064533</c:v>
                </c:pt>
                <c:pt idx="8">
                  <c:v>0.69175185017747076</c:v>
                </c:pt>
                <c:pt idx="9">
                  <c:v>0.71866649252769366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C4E-439A-B3D9-C60481A43E9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Total ECE Enrolment (3-5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065371987134632E-2"/>
                  <c:y val="-2.816676761558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3-4FD7-9489-DC410C86D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03-4534-A4DE-9AA2EE6E2DC0}"/>
                </c:ext>
              </c:extLst>
            </c:dLbl>
            <c:dLbl>
              <c:idx val="2"/>
              <c:layout>
                <c:manualLayout>
                  <c:x val="-7.8065371987134632E-2"/>
                  <c:y val="-3.8423177871996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3-4FD7-9489-DC410C86D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63-4FD7-9489-DC410C86D7C2}"/>
                </c:ext>
              </c:extLst>
            </c:dLbl>
            <c:dLbl>
              <c:idx val="4"/>
              <c:layout>
                <c:manualLayout>
                  <c:x val="-9.4815786329076848E-2"/>
                  <c:y val="-5.3807793256612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3-4FD7-9489-DC410C86D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3-4FD7-9489-DC410C86D7C2}"/>
                </c:ext>
              </c:extLst>
            </c:dLbl>
            <c:dLbl>
              <c:idx val="6"/>
              <c:layout>
                <c:manualLayout>
                  <c:x val="-6.1314957645192458E-2"/>
                  <c:y val="-3.8423177871996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3-4FD7-9489-DC410C86D7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3-4FD7-9489-DC410C86D7C2}"/>
                </c:ext>
              </c:extLst>
            </c:dLbl>
            <c:dLbl>
              <c:idx val="8"/>
              <c:layout>
                <c:manualLayout>
                  <c:x val="-1.4479216428806386E-2"/>
                  <c:y val="-3.8423177871996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3-4FD7-9489-DC410C86D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Dashboard!$C$67:$L$67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Dashboard!$O$68:$W$68</c:f>
              <c:numCache>
                <c:formatCode>#,##0</c:formatCode>
                <c:ptCount val="9"/>
                <c:pt idx="0">
                  <c:v>514290.41000000003</c:v>
                </c:pt>
                <c:pt idx="1">
                  <c:v>418737.28660000005</c:v>
                </c:pt>
                <c:pt idx="2">
                  <c:v>445328.46911000006</c:v>
                </c:pt>
                <c:pt idx="3">
                  <c:v>474388.78834040015</c:v>
                </c:pt>
                <c:pt idx="4">
                  <c:v>505308.71418007888</c:v>
                </c:pt>
                <c:pt idx="5">
                  <c:v>538209.13329104392</c:v>
                </c:pt>
                <c:pt idx="6">
                  <c:v>573221.28900002514</c:v>
                </c:pt>
                <c:pt idx="7">
                  <c:v>608810.06654011481</c:v>
                </c:pt>
                <c:pt idx="8">
                  <c:v>642090.6541662137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63-4FD7-9489-DC410C86D7C2}"/>
            </c:ext>
          </c:extLst>
        </c:ser>
        <c:ser>
          <c:idx val="1"/>
          <c:order val="1"/>
          <c:tx>
            <c:v>Female</c:v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76553772391153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63-4FD7-9489-DC410C86D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363-4FD7-9489-DC410C86D7C2}"/>
                </c:ext>
              </c:extLst>
            </c:dLbl>
            <c:dLbl>
              <c:idx val="2"/>
              <c:layout>
                <c:manualLayout>
                  <c:x val="-8.1415454855523053E-2"/>
                  <c:y val="6.4140924692105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363-4FD7-9489-DC410C86D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363-4FD7-9489-DC410C86D7C2}"/>
                </c:ext>
              </c:extLst>
            </c:dLbl>
            <c:dLbl>
              <c:idx val="4"/>
              <c:layout>
                <c:manualLayout>
                  <c:x val="-8.4765537723911488E-2"/>
                  <c:y val="4.875630930749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363-4FD7-9489-DC410C86D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363-4FD7-9489-DC410C86D7C2}"/>
                </c:ext>
              </c:extLst>
            </c:dLbl>
            <c:dLbl>
              <c:idx val="6"/>
              <c:layout>
                <c:manualLayout>
                  <c:x val="-8.4765537723911488E-2"/>
                  <c:y val="4.3628104179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363-4FD7-9489-DC410C86D7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363-4FD7-9489-DC410C86D7C2}"/>
                </c:ext>
              </c:extLst>
            </c:dLbl>
            <c:dLbl>
              <c:idx val="8"/>
              <c:layout>
                <c:manualLayout>
                  <c:x val="-2.1179382165583252E-2"/>
                  <c:y val="3.3371693922875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363-4FD7-9489-DC410C86D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Dashboard!$C$67:$L$67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Dashboard!$O$69:$W$69</c:f>
              <c:numCache>
                <c:formatCode>#,##0</c:formatCode>
                <c:ptCount val="9"/>
                <c:pt idx="0">
                  <c:v>449654.83999999997</c:v>
                </c:pt>
                <c:pt idx="1">
                  <c:v>337627.37549999997</c:v>
                </c:pt>
                <c:pt idx="2">
                  <c:v>356537.46779100009</c:v>
                </c:pt>
                <c:pt idx="3">
                  <c:v>378945.50928417011</c:v>
                </c:pt>
                <c:pt idx="4">
                  <c:v>402855.94539676962</c:v>
                </c:pt>
                <c:pt idx="5">
                  <c:v>429926.83625419921</c:v>
                </c:pt>
                <c:pt idx="6">
                  <c:v>459703.19842975942</c:v>
                </c:pt>
                <c:pt idx="7">
                  <c:v>491571.70678784372</c:v>
                </c:pt>
                <c:pt idx="8">
                  <c:v>525680.33909078909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63-4FD7-9489-DC410C86D7C2}"/>
            </c:ext>
          </c:extLst>
        </c:ser>
        <c:ser>
          <c:idx val="2"/>
          <c:order val="2"/>
          <c:tx>
            <c:v>Total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065371987134632E-2"/>
                  <c:y val="-2.816676761558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63-4FD7-9489-DC410C86D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63-4FD7-9489-DC410C86D7C2}"/>
                </c:ext>
              </c:extLst>
            </c:dLbl>
            <c:dLbl>
              <c:idx val="2"/>
              <c:layout>
                <c:manualLayout>
                  <c:x val="-0.10151595206585366"/>
                  <c:y val="-3.3294972743791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63-4FD7-9489-DC410C86D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63-4FD7-9489-DC410C86D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63-4FD7-9489-DC410C86D7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3-4534-A4DE-9AA2EE6E2D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Dashboard!$C$67:$L$67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Dashboard!$O$70:$W$70</c:f>
              <c:numCache>
                <c:formatCode>#,##0</c:formatCode>
                <c:ptCount val="9"/>
                <c:pt idx="0">
                  <c:v>963945.25</c:v>
                </c:pt>
                <c:pt idx="1">
                  <c:v>756364.66210000007</c:v>
                </c:pt>
                <c:pt idx="2">
                  <c:v>801865.9369010001</c:v>
                </c:pt>
                <c:pt idx="3">
                  <c:v>853334.29762457032</c:v>
                </c:pt>
                <c:pt idx="4">
                  <c:v>908164.6595768485</c:v>
                </c:pt>
                <c:pt idx="5">
                  <c:v>968135.96954524308</c:v>
                </c:pt>
                <c:pt idx="6">
                  <c:v>1032924.4874297846</c:v>
                </c:pt>
                <c:pt idx="7">
                  <c:v>1100381.7733279585</c:v>
                </c:pt>
                <c:pt idx="8">
                  <c:v>1167770.9932570029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363-4FD7-9489-DC410C86D7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Additional ECE Costs Required (</a:t>
            </a:r>
            <a:r>
              <a:rPr lang="en-US" sz="1100" b="1" i="1"/>
              <a:t>in USD millions</a:t>
            </a:r>
            <a:r>
              <a:rPr lang="en-US" sz="1100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Dashboard!$N$30</c:f>
              <c:strCache>
                <c:ptCount val="1"/>
                <c:pt idx="0">
                  <c:v>Classroom Construction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Dashboard!$O$29:$W$29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Dashboard!$O$30:$W$30</c:f>
              <c:numCache>
                <c:formatCode>#,##0.00</c:formatCode>
                <c:ptCount val="9"/>
                <c:pt idx="0">
                  <c:v>5.8198436604000028</c:v>
                </c:pt>
                <c:pt idx="1">
                  <c:v>6.6644343307080067</c:v>
                </c:pt>
                <c:pt idx="2">
                  <c:v>8.5668760335690894</c:v>
                </c:pt>
                <c:pt idx="3">
                  <c:v>10.180418990910638</c:v>
                </c:pt>
                <c:pt idx="4">
                  <c:v>11.124100651708211</c:v>
                </c:pt>
                <c:pt idx="5">
                  <c:v>7.931399514677361</c:v>
                </c:pt>
                <c:pt idx="6">
                  <c:v>9.160296160425812</c:v>
                </c:pt>
                <c:pt idx="7">
                  <c:v>9.6675775958103163</c:v>
                </c:pt>
                <c:pt idx="8">
                  <c:v>10.432802367166911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C2-4FB8-9402-0CDE791D13CD}"/>
            </c:ext>
          </c:extLst>
        </c:ser>
        <c:ser>
          <c:idx val="2"/>
          <c:order val="1"/>
          <c:tx>
            <c:strRef>
              <c:f>Dashboard!$N$33</c:f>
              <c:strCache>
                <c:ptCount val="1"/>
                <c:pt idx="0">
                  <c:v>Teacher Salary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94781087146715E-2"/>
                  <c:y val="-4.3500969413999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C2-4FB8-9402-0CDE791D13CD}"/>
                </c:ext>
              </c:extLst>
            </c:dLbl>
            <c:dLbl>
              <c:idx val="1"/>
              <c:layout>
                <c:manualLayout>
                  <c:x val="-3.9794781087146756E-2"/>
                  <c:y val="-3.6800801909811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C2-4FB8-9402-0CDE791D13CD}"/>
                </c:ext>
              </c:extLst>
            </c:dLbl>
            <c:dLbl>
              <c:idx val="2"/>
              <c:layout>
                <c:manualLayout>
                  <c:x val="-3.9794781087146715E-2"/>
                  <c:y val="-4.3500969413999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C2-4FB8-9402-0CDE791D13CD}"/>
                </c:ext>
              </c:extLst>
            </c:dLbl>
            <c:dLbl>
              <c:idx val="3"/>
              <c:layout>
                <c:manualLayout>
                  <c:x val="-3.9794781087146805E-2"/>
                  <c:y val="-5.6901304422374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C2-4FB8-9402-0CDE791D13CD}"/>
                </c:ext>
              </c:extLst>
            </c:dLbl>
            <c:dLbl>
              <c:idx val="4"/>
              <c:layout>
                <c:manualLayout>
                  <c:x val="-4.4625698961542851E-2"/>
                  <c:y val="-6.360147192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C2-4FB8-9402-0CDE791D13CD}"/>
                </c:ext>
              </c:extLst>
            </c:dLbl>
            <c:dLbl>
              <c:idx val="5"/>
              <c:layout>
                <c:manualLayout>
                  <c:x val="-3.9794781087146715E-2"/>
                  <c:y val="-2.3400466901436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C2-4FB8-9402-0CDE791D13CD}"/>
                </c:ext>
              </c:extLst>
            </c:dLbl>
            <c:dLbl>
              <c:idx val="6"/>
              <c:layout>
                <c:manualLayout>
                  <c:x val="-3.9794781087146805E-2"/>
                  <c:y val="-1.6700299397248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C2-4FB8-9402-0CDE791D13CD}"/>
                </c:ext>
              </c:extLst>
            </c:dLbl>
            <c:dLbl>
              <c:idx val="7"/>
              <c:layout>
                <c:manualLayout>
                  <c:x val="-3.9794781087146895E-2"/>
                  <c:y val="2.3500705627876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C2-4FB8-9402-0CDE791D13CD}"/>
                </c:ext>
              </c:extLst>
            </c:dLbl>
            <c:dLbl>
              <c:idx val="8"/>
              <c:layout>
                <c:manualLayout>
                  <c:x val="-3.9794781087146715E-2"/>
                  <c:y val="3.6901040636252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C2-4FB8-9402-0CDE791D13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Dashboard!$O$29:$W$29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Dashboard!$O$33:$W$33</c:f>
              <c:numCache>
                <c:formatCode>#,##0.00</c:formatCode>
                <c:ptCount val="9"/>
                <c:pt idx="0">
                  <c:v>1.679734800000001</c:v>
                </c:pt>
                <c:pt idx="1">
                  <c:v>2.1506334760000021</c:v>
                </c:pt>
                <c:pt idx="2">
                  <c:v>2.9856149481004475</c:v>
                </c:pt>
                <c:pt idx="3">
                  <c:v>3.8127064703987932</c:v>
                </c:pt>
                <c:pt idx="4">
                  <c:v>4.4260761984250916</c:v>
                </c:pt>
                <c:pt idx="5">
                  <c:v>3.8691214462265022</c:v>
                </c:pt>
                <c:pt idx="6">
                  <c:v>4.5327810304263467</c:v>
                </c:pt>
                <c:pt idx="7">
                  <c:v>5.0370933088258365</c:v>
                </c:pt>
                <c:pt idx="8">
                  <c:v>5.6859049268293296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3C2-4FB8-9402-0CDE791D13CD}"/>
            </c:ext>
          </c:extLst>
        </c:ser>
        <c:ser>
          <c:idx val="3"/>
          <c:order val="2"/>
          <c:tx>
            <c:strRef>
              <c:f>Dashboard!$N$34</c:f>
              <c:strCache>
                <c:ptCount val="1"/>
                <c:pt idx="0">
                  <c:v>Caregiver Salary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94781087146715E-2"/>
                  <c:y val="3.6901040636252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C2-4FB8-9402-0CDE791D13CD}"/>
                </c:ext>
              </c:extLst>
            </c:dLbl>
            <c:dLbl>
              <c:idx val="1"/>
              <c:layout>
                <c:manualLayout>
                  <c:x val="-3.9794781087146756E-2"/>
                  <c:y val="5.030137564462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C2-4FB8-9402-0CDE791D13CD}"/>
                </c:ext>
              </c:extLst>
            </c:dLbl>
            <c:dLbl>
              <c:idx val="2"/>
              <c:layout>
                <c:manualLayout>
                  <c:x val="-3.9794781087146715E-2"/>
                  <c:y val="5.030137564462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C2-4FB8-9402-0CDE791D13CD}"/>
                </c:ext>
              </c:extLst>
            </c:dLbl>
            <c:dLbl>
              <c:idx val="3"/>
              <c:layout>
                <c:manualLayout>
                  <c:x val="-3.9794781087146805E-2"/>
                  <c:y val="4.3601208140439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3C2-4FB8-9402-0CDE791D13CD}"/>
                </c:ext>
              </c:extLst>
            </c:dLbl>
            <c:dLbl>
              <c:idx val="4"/>
              <c:layout>
                <c:manualLayout>
                  <c:x val="-3.9794781087146805E-2"/>
                  <c:y val="5.7001543148814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3C2-4FB8-9402-0CDE791D13CD}"/>
                </c:ext>
              </c:extLst>
            </c:dLbl>
            <c:dLbl>
              <c:idx val="5"/>
              <c:layout>
                <c:manualLayout>
                  <c:x val="-4.2210240024344786E-2"/>
                  <c:y val="5.030137564462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3C2-4FB8-9402-0CDE791D13CD}"/>
                </c:ext>
              </c:extLst>
            </c:dLbl>
            <c:dLbl>
              <c:idx val="6"/>
              <c:layout>
                <c:manualLayout>
                  <c:x val="-3.9794781087146805E-2"/>
                  <c:y val="5.7001543148814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3C2-4FB8-9402-0CDE791D13CD}"/>
                </c:ext>
              </c:extLst>
            </c:dLbl>
            <c:dLbl>
              <c:idx val="7"/>
              <c:layout>
                <c:manualLayout>
                  <c:x val="-3.9794781087146895E-2"/>
                  <c:y val="5.7001543148814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3C2-4FB8-9402-0CDE791D13CD}"/>
                </c:ext>
              </c:extLst>
            </c:dLbl>
            <c:dLbl>
              <c:idx val="8"/>
              <c:layout>
                <c:manualLayout>
                  <c:x val="-3.9794781087146715E-2"/>
                  <c:y val="4.3601208140439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3C2-4FB8-9402-0CDE791D13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Dashboard!$O$29:$W$29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Dashboard!$O$34:$W$34</c:f>
              <c:numCache>
                <c:formatCode>#,##0.00</c:formatCode>
                <c:ptCount val="9"/>
                <c:pt idx="0">
                  <c:v>1.4453532000000009</c:v>
                </c:pt>
                <c:pt idx="1">
                  <c:v>1.8505450840000017</c:v>
                </c:pt>
                <c:pt idx="2">
                  <c:v>2.5690175134817803</c:v>
                </c:pt>
                <c:pt idx="3">
                  <c:v>3.2807009163896592</c:v>
                </c:pt>
                <c:pt idx="4">
                  <c:v>3.8084841707378692</c:v>
                </c:pt>
                <c:pt idx="5">
                  <c:v>3.32924403512513</c:v>
                </c:pt>
                <c:pt idx="6">
                  <c:v>3.9002999564133671</c:v>
                </c:pt>
                <c:pt idx="7">
                  <c:v>4.3342430796873472</c:v>
                </c:pt>
                <c:pt idx="8">
                  <c:v>4.8925228440159341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3C2-4FB8-9402-0CDE791D13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5168448"/>
        <c:axId val="1105165536"/>
      </c:lineChart>
      <c:catAx>
        <c:axId val="1105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5536"/>
        <c:crosses val="autoZero"/>
        <c:auto val="1"/>
        <c:lblAlgn val="ctr"/>
        <c:lblOffset val="100"/>
        <c:noMultiLvlLbl val="0"/>
      </c:catAx>
      <c:valAx>
        <c:axId val="11051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62345</xdr:rowOff>
    </xdr:from>
    <xdr:to>
      <xdr:col>12</xdr:col>
      <xdr:colOff>9525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942753-B3AC-47FC-98A3-D6A808852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552451</xdr:colOff>
      <xdr:row>37</xdr:row>
      <xdr:rowOff>1</xdr:rowOff>
    </xdr:from>
    <xdr:to>
      <xdr:col>22</xdr:col>
      <xdr:colOff>600075</xdr:colOff>
      <xdr:row>50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892207E-1CAD-4F33-8246-5717433E9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13</xdr:col>
      <xdr:colOff>781050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393D33-0D57-436E-AAFC-F2F11EE6E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781051</xdr:colOff>
      <xdr:row>50</xdr:row>
      <xdr:rowOff>0</xdr:rowOff>
    </xdr:from>
    <xdr:to>
      <xdr:col>22</xdr:col>
      <xdr:colOff>600076</xdr:colOff>
      <xdr:row>63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03B4FF-469B-4F4B-A552-2B1A59C5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7</xdr:col>
      <xdr:colOff>333375</xdr:colOff>
      <xdr:row>50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AC1B6F2-B76D-4D33-B931-A7D096C78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323849</xdr:colOff>
      <xdr:row>37</xdr:row>
      <xdr:rowOff>0</xdr:rowOff>
    </xdr:from>
    <xdr:to>
      <xdr:col>14</xdr:col>
      <xdr:colOff>571500</xdr:colOff>
      <xdr:row>50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E7D8996-E664-477D-8B36-FC56CBEFC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25</xdr:row>
      <xdr:rowOff>27708</xdr:rowOff>
    </xdr:from>
    <xdr:to>
      <xdr:col>12</xdr:col>
      <xdr:colOff>0</xdr:colOff>
      <xdr:row>36</xdr:row>
      <xdr:rowOff>20781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2583FCC-0F04-4044-866E-177095FB7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7CD4F-CE22-43A5-AB6C-EF22AC1C9CCE}">
  <sheetPr>
    <pageSetUpPr fitToPage="1"/>
  </sheetPr>
  <dimension ref="A1:W104"/>
  <sheetViews>
    <sheetView tabSelected="1" zoomScale="110" zoomScaleNormal="110" workbookViewId="0">
      <selection activeCell="F1" sqref="F1"/>
    </sheetView>
  </sheetViews>
  <sheetFormatPr defaultRowHeight="14.4" x14ac:dyDescent="0.3"/>
  <cols>
    <col min="1" max="1" width="16.109375" customWidth="1"/>
    <col min="2" max="12" width="5.6640625" customWidth="1"/>
    <col min="13" max="13" width="1" customWidth="1"/>
    <col min="14" max="14" width="23.88671875" customWidth="1"/>
    <col min="15" max="23" width="9.33203125" customWidth="1"/>
  </cols>
  <sheetData>
    <row r="1" spans="1:23" s="22" customFormat="1" x14ac:dyDescent="0.3">
      <c r="A1" s="48" t="s">
        <v>201</v>
      </c>
      <c r="N1" s="49" t="s">
        <v>100</v>
      </c>
      <c r="V1" s="1" t="str">
        <f>Inputs!C89</f>
        <v>USD</v>
      </c>
      <c r="W1" s="54" t="s">
        <v>101</v>
      </c>
    </row>
    <row r="2" spans="1:23" ht="9" customHeight="1" x14ac:dyDescent="0.3"/>
    <row r="3" spans="1:23" x14ac:dyDescent="0.3">
      <c r="N3" s="36" t="s">
        <v>56</v>
      </c>
      <c r="O3" s="20">
        <f>Inputs!$F$5+1</f>
        <v>2022</v>
      </c>
      <c r="P3" s="20">
        <f>O3+1</f>
        <v>2023</v>
      </c>
      <c r="Q3" s="20">
        <f t="shared" ref="Q3:W3" si="0">P3+1</f>
        <v>2024</v>
      </c>
      <c r="R3" s="20">
        <f t="shared" si="0"/>
        <v>2025</v>
      </c>
      <c r="S3" s="20">
        <f t="shared" si="0"/>
        <v>2026</v>
      </c>
      <c r="T3" s="20">
        <f t="shared" si="0"/>
        <v>2027</v>
      </c>
      <c r="U3" s="20">
        <f t="shared" si="0"/>
        <v>2028</v>
      </c>
      <c r="V3" s="20">
        <f t="shared" si="0"/>
        <v>2029</v>
      </c>
      <c r="W3" s="20">
        <f t="shared" si="0"/>
        <v>2030</v>
      </c>
    </row>
    <row r="4" spans="1:23" x14ac:dyDescent="0.3">
      <c r="N4" s="45" t="str">
        <f>Semantics!B14</f>
        <v>Salary Budget</v>
      </c>
      <c r="O4" s="46">
        <f>Financing!B32/1000000</f>
        <v>133.18238506750782</v>
      </c>
      <c r="P4" s="46">
        <f>Financing!C32/1000000</f>
        <v>135.49882002984063</v>
      </c>
      <c r="Q4" s="46">
        <f>Financing!D32/1000000</f>
        <v>138.51013781721633</v>
      </c>
      <c r="R4" s="46">
        <f>Financing!E32/1000000</f>
        <v>141.52466409970799</v>
      </c>
      <c r="S4" s="46">
        <f>Financing!F32/1000000</f>
        <v>144.15984555840788</v>
      </c>
      <c r="T4" s="46">
        <f>Financing!G32/1000000</f>
        <v>144.31748859336824</v>
      </c>
      <c r="U4" s="46">
        <f>Financing!H32/1000000</f>
        <v>147.05216449590279</v>
      </c>
      <c r="V4" s="46">
        <f>Financing!I32/1000000</f>
        <v>149.50678851793722</v>
      </c>
      <c r="W4" s="46">
        <f>Financing!J32/1000000</f>
        <v>152.24683623521187</v>
      </c>
    </row>
    <row r="5" spans="1:23" x14ac:dyDescent="0.3">
      <c r="N5" s="45" t="str">
        <f>Semantics!B15</f>
        <v>Non-Salary Budget</v>
      </c>
      <c r="O5" s="46">
        <f>Financing!B33/1000000</f>
        <v>37.090774124309689</v>
      </c>
      <c r="P5" s="46">
        <f>Financing!C33/1000000</f>
        <v>37.541802364841864</v>
      </c>
      <c r="Q5" s="46">
        <f>Financing!D33/1000000</f>
        <v>38.211261837922329</v>
      </c>
      <c r="R5" s="46">
        <f>Financing!E33/1000000</f>
        <v>38.909736898889768</v>
      </c>
      <c r="S5" s="46">
        <f>Financing!F33/1000000</f>
        <v>39.628530237649528</v>
      </c>
      <c r="T5" s="46">
        <f>Financing!G33/1000000</f>
        <v>40.293958041386894</v>
      </c>
      <c r="U5" s="46">
        <f>Financing!H33/1000000</f>
        <v>41.050561068053398</v>
      </c>
      <c r="V5" s="46">
        <f>Financing!I33/1000000</f>
        <v>41.829090416019476</v>
      </c>
      <c r="W5" s="46">
        <f>Financing!J33/1000000</f>
        <v>42.575239304564263</v>
      </c>
    </row>
    <row r="6" spans="1:23" x14ac:dyDescent="0.3">
      <c r="N6" s="45" t="str">
        <f>Semantics!B16</f>
        <v>Development Budget</v>
      </c>
      <c r="O6" s="46">
        <f>Financing!B34/1000000</f>
        <v>51.378860043233587</v>
      </c>
      <c r="P6" s="46">
        <f>Financing!C34/1000000</f>
        <v>53.099203346220975</v>
      </c>
      <c r="Q6" s="46">
        <f>Financing!D34/1000000</f>
        <v>56.191190745026844</v>
      </c>
      <c r="R6" s="46">
        <f>Financing!E34/1000000</f>
        <v>59.036232816215993</v>
      </c>
      <c r="S6" s="46">
        <f>Financing!F34/1000000</f>
        <v>61.062527213225508</v>
      </c>
      <c r="T6" s="46">
        <f>Financing!G34/1000000</f>
        <v>58.163290642303451</v>
      </c>
      <c r="U6" s="46">
        <f>Financing!H34/1000000</f>
        <v>60.628904090377866</v>
      </c>
      <c r="V6" s="46">
        <f>Financing!I34/1000000</f>
        <v>62.217143543074386</v>
      </c>
      <c r="W6" s="46">
        <f>Financing!J34/1000000</f>
        <v>64.170431847286835</v>
      </c>
    </row>
    <row r="7" spans="1:23" x14ac:dyDescent="0.3">
      <c r="N7" s="45" t="s">
        <v>95</v>
      </c>
      <c r="O7" s="47">
        <f>Financing!B35/1000000</f>
        <v>221.65201923505109</v>
      </c>
      <c r="P7" s="47">
        <f>Financing!C35/1000000</f>
        <v>226.13982574090343</v>
      </c>
      <c r="Q7" s="47">
        <f>Financing!D35/1000000</f>
        <v>232.9125904001655</v>
      </c>
      <c r="R7" s="47">
        <f>Financing!E35/1000000</f>
        <v>239.47063381481374</v>
      </c>
      <c r="S7" s="47">
        <f>Financing!F35/1000000</f>
        <v>244.85090300928292</v>
      </c>
      <c r="T7" s="47">
        <f>Financing!G35/1000000</f>
        <v>242.77473727705859</v>
      </c>
      <c r="U7" s="47">
        <f>Financing!H35/1000000</f>
        <v>248.73162965433403</v>
      </c>
      <c r="V7" s="47">
        <f>Financing!I35/1000000</f>
        <v>253.55302247703105</v>
      </c>
      <c r="W7" s="47">
        <f>Financing!J35/1000000</f>
        <v>258.99250738706297</v>
      </c>
    </row>
    <row r="8" spans="1:23" x14ac:dyDescent="0.3">
      <c r="N8" s="45" t="s">
        <v>252</v>
      </c>
      <c r="O8" s="55">
        <f>'Policy Options'!B18</f>
        <v>7.1416609008452828E-2</v>
      </c>
      <c r="P8" s="55">
        <f>'Policy Options'!C18</f>
        <v>7.2290298855183593E-2</v>
      </c>
      <c r="Q8" s="55">
        <f>'Policy Options'!D18</f>
        <v>7.3870555743311611E-2</v>
      </c>
      <c r="R8" s="55">
        <f>'Policy Options'!E18</f>
        <v>7.5353963114707406E-2</v>
      </c>
      <c r="S8" s="55">
        <f>'Policy Options'!F18</f>
        <v>7.6441812923527169E-2</v>
      </c>
      <c r="T8" s="55">
        <f>'Policy Options'!G18</f>
        <v>7.5198329837330866E-2</v>
      </c>
      <c r="U8" s="55">
        <f>'Policy Options'!H18</f>
        <v>7.6438323153173546E-2</v>
      </c>
      <c r="V8" s="55">
        <f>'Policy Options'!I18</f>
        <v>7.7307986414215504E-2</v>
      </c>
      <c r="W8" s="55">
        <f>'Policy Options'!J18</f>
        <v>7.8346248139635796E-2</v>
      </c>
    </row>
    <row r="10" spans="1:23" x14ac:dyDescent="0.3">
      <c r="N10" s="3" t="s">
        <v>31</v>
      </c>
    </row>
    <row r="11" spans="1:23" ht="7.2" customHeight="1" x14ac:dyDescent="0.3"/>
    <row r="12" spans="1:23" x14ac:dyDescent="0.3">
      <c r="N12" s="36" t="s">
        <v>51</v>
      </c>
      <c r="O12" s="20">
        <f>Inputs!$F$5+1</f>
        <v>2022</v>
      </c>
      <c r="P12" s="20">
        <f>O12+1</f>
        <v>2023</v>
      </c>
      <c r="Q12" s="20">
        <f t="shared" ref="Q12:W12" si="1">P12+1</f>
        <v>2024</v>
      </c>
      <c r="R12" s="20">
        <f t="shared" si="1"/>
        <v>2025</v>
      </c>
      <c r="S12" s="20">
        <f t="shared" si="1"/>
        <v>2026</v>
      </c>
      <c r="T12" s="20">
        <f t="shared" si="1"/>
        <v>2027</v>
      </c>
      <c r="U12" s="20">
        <f t="shared" si="1"/>
        <v>2028</v>
      </c>
      <c r="V12" s="20">
        <f t="shared" si="1"/>
        <v>2029</v>
      </c>
      <c r="W12" s="20">
        <f t="shared" si="1"/>
        <v>2030</v>
      </c>
    </row>
    <row r="13" spans="1:23" x14ac:dyDescent="0.3">
      <c r="N13" s="45" t="s">
        <v>13</v>
      </c>
      <c r="O13" s="52">
        <f>Enrolment!D8</f>
        <v>0.35151061120470289</v>
      </c>
      <c r="P13" s="52">
        <f>Enrolment!E8</f>
        <v>0.29595469368033051</v>
      </c>
      <c r="Q13" s="52">
        <f>Enrolment!F8</f>
        <v>0.33520431251744631</v>
      </c>
      <c r="R13" s="52">
        <f>Enrolment!G8</f>
        <v>0.38078554615608018</v>
      </c>
      <c r="S13" s="52">
        <f>Enrolment!H8</f>
        <v>0.4646279536737048</v>
      </c>
      <c r="T13" s="52">
        <f>Enrolment!I8</f>
        <v>0.5629993340130387</v>
      </c>
      <c r="U13" s="52">
        <f>Enrolment!J8</f>
        <v>0.69302091906364971</v>
      </c>
      <c r="V13" s="52">
        <f>Enrolment!K8</f>
        <v>0.71809514770824312</v>
      </c>
      <c r="W13" s="52">
        <f>Enrolment!L8</f>
        <v>0.73887785528253969</v>
      </c>
    </row>
    <row r="14" spans="1:23" x14ac:dyDescent="0.3">
      <c r="N14" s="45" t="s">
        <v>14</v>
      </c>
      <c r="O14" s="52">
        <f>Enrolment!D9</f>
        <v>0.45586422754687678</v>
      </c>
      <c r="P14" s="52">
        <f>Enrolment!E9</f>
        <v>0.35169815957878026</v>
      </c>
      <c r="Q14" s="52">
        <f>Enrolment!F9</f>
        <v>0.41543269895819507</v>
      </c>
      <c r="R14" s="52">
        <f>Enrolment!G9</f>
        <v>0.51943997168121658</v>
      </c>
      <c r="S14" s="52">
        <f>Enrolment!H9</f>
        <v>0.5712398660729211</v>
      </c>
      <c r="T14" s="52">
        <f>Enrolment!I9</f>
        <v>0.5991425028726286</v>
      </c>
      <c r="U14" s="52">
        <f>Enrolment!J9</f>
        <v>0.62962024205512346</v>
      </c>
      <c r="V14" s="52">
        <f>Enrolment!K9</f>
        <v>0.66168854618784889</v>
      </c>
      <c r="W14" s="52">
        <f>Enrolment!L9</f>
        <v>0.69543101428689624</v>
      </c>
    </row>
    <row r="15" spans="1:23" x14ac:dyDescent="0.3">
      <c r="N15" s="45" t="s">
        <v>18</v>
      </c>
      <c r="O15" s="55">
        <f>Enrolment!D10</f>
        <v>0.39353292577936261</v>
      </c>
      <c r="P15" s="55">
        <f>Enrolment!E10</f>
        <v>0.31848791334189724</v>
      </c>
      <c r="Q15" s="55">
        <f>Enrolment!F10</f>
        <v>0.3666913226694784</v>
      </c>
      <c r="R15" s="55">
        <f>Enrolment!G10</f>
        <v>0.43199292782195575</v>
      </c>
      <c r="S15" s="55">
        <f>Enrolment!H10</f>
        <v>0.50656602599400313</v>
      </c>
      <c r="T15" s="55">
        <f>Enrolment!I10</f>
        <v>0.57849660073507791</v>
      </c>
      <c r="U15" s="55">
        <f>Enrolment!J10</f>
        <v>0.66329528837064533</v>
      </c>
      <c r="V15" s="55">
        <f>Enrolment!K10</f>
        <v>0.69175185017747076</v>
      </c>
      <c r="W15" s="55">
        <f>Enrolment!L10</f>
        <v>0.71866649252769366</v>
      </c>
    </row>
    <row r="17" spans="14:23" x14ac:dyDescent="0.3">
      <c r="N17" s="3" t="s">
        <v>144</v>
      </c>
    </row>
    <row r="18" spans="14:23" ht="5.4" customHeight="1" x14ac:dyDescent="0.3"/>
    <row r="19" spans="14:23" x14ac:dyDescent="0.3">
      <c r="N19" s="36" t="s">
        <v>145</v>
      </c>
      <c r="O19" s="20">
        <f>Inputs!$F$5+1</f>
        <v>2022</v>
      </c>
      <c r="P19" s="20">
        <f>O19+1</f>
        <v>2023</v>
      </c>
      <c r="Q19" s="20">
        <f t="shared" ref="Q19" si="2">P19+1</f>
        <v>2024</v>
      </c>
      <c r="R19" s="20">
        <f t="shared" ref="R19" si="3">Q19+1</f>
        <v>2025</v>
      </c>
      <c r="S19" s="20">
        <f t="shared" ref="S19" si="4">R19+1</f>
        <v>2026</v>
      </c>
      <c r="T19" s="20">
        <f t="shared" ref="T19" si="5">S19+1</f>
        <v>2027</v>
      </c>
      <c r="U19" s="20">
        <f t="shared" ref="U19" si="6">T19+1</f>
        <v>2028</v>
      </c>
      <c r="V19" s="20">
        <f t="shared" ref="V19" si="7">U19+1</f>
        <v>2029</v>
      </c>
      <c r="W19" s="20">
        <f t="shared" ref="W19" si="8">V19+1</f>
        <v>2030</v>
      </c>
    </row>
    <row r="20" spans="14:23" x14ac:dyDescent="0.3">
      <c r="N20" s="45" t="s">
        <v>146</v>
      </c>
      <c r="O20" s="52">
        <f>IF(Inputs!$J$5=1,100%-'Achievement Rates'!D8,IF(Inputs!$J$5=2,100%-'Achievement Rates'!D9,100%-'Achievement Rates'!D10))</f>
        <v>0.91</v>
      </c>
      <c r="P20" s="52">
        <f>IF(Inputs!$J$5=1,100%-'Achievement Rates'!E8,IF(Inputs!$J$5=2,100%-'Achievement Rates'!E9,100%-'Achievement Rates'!E10))</f>
        <v>0.93</v>
      </c>
      <c r="Q20" s="52">
        <f>IF(Inputs!$J$5=1,100%-'Achievement Rates'!F8,IF(Inputs!$J$5=2,100%-'Achievement Rates'!F9,100%-'Achievement Rates'!F10))</f>
        <v>0.95</v>
      </c>
      <c r="R20" s="52">
        <f>IF(Inputs!$J$5=1,100%-'Achievement Rates'!G8,IF(Inputs!$J$5=2,100%-'Achievement Rates'!G9,100%-'Achievement Rates'!G10))</f>
        <v>0.97</v>
      </c>
      <c r="S20" s="52">
        <f>IF(Inputs!$J$5=1,100%-'Achievement Rates'!H8,IF(Inputs!$J$5=2,100%-'Achievement Rates'!H9,100%-'Achievement Rates'!H10))</f>
        <v>0.99</v>
      </c>
      <c r="T20" s="52">
        <f>IF(Inputs!$J$5=1,100%-'Achievement Rates'!I8,IF(Inputs!$J$5=2,100%-'Achievement Rates'!I9,100%-'Achievement Rates'!I10))</f>
        <v>1</v>
      </c>
      <c r="U20" s="52">
        <f>IF(Inputs!$J$5=1,100%-'Achievement Rates'!J8,IF(Inputs!$J$5=2,100%-'Achievement Rates'!J9,100%-'Achievement Rates'!J10))</f>
        <v>1</v>
      </c>
      <c r="V20" s="52">
        <f>IF(Inputs!$J$5=1,100%-'Achievement Rates'!K8,IF(Inputs!$J$5=2,100%-'Achievement Rates'!K9,100%-'Achievement Rates'!K10))</f>
        <v>1</v>
      </c>
      <c r="W20" s="52">
        <f>IF(Inputs!$J$5=1,100%-'Achievement Rates'!L8,IF(Inputs!$J$5=2,100%-'Achievement Rates'!L9,100%-'Achievement Rates'!L10))</f>
        <v>1</v>
      </c>
    </row>
    <row r="21" spans="14:23" x14ac:dyDescent="0.3">
      <c r="N21" s="45" t="s">
        <v>147</v>
      </c>
      <c r="O21" s="52">
        <f>IF(Inputs!$J$5=1,100%-'Achievement Rates'!Q8,IF(Inputs!$J$5=2,100%-'Achievement Rates'!Q9,100%-'Achievement Rates'!Q10))</f>
        <v>0.91</v>
      </c>
      <c r="P21" s="52">
        <f>IF(Inputs!$J$5=1,100%-'Achievement Rates'!R8,IF(Inputs!$J$5=2,100%-'Achievement Rates'!R9,100%-'Achievement Rates'!R10))</f>
        <v>0.93</v>
      </c>
      <c r="Q21" s="52">
        <f>IF(Inputs!$J$5=1,100%-'Achievement Rates'!S8,IF(Inputs!$J$5=2,100%-'Achievement Rates'!S9,100%-'Achievement Rates'!S10))</f>
        <v>0.95</v>
      </c>
      <c r="R21" s="52">
        <f>IF(Inputs!$J$5=1,100%-'Achievement Rates'!T8,IF(Inputs!$J$5=2,100%-'Achievement Rates'!T9,100%-'Achievement Rates'!T10))</f>
        <v>0.97</v>
      </c>
      <c r="S21" s="52">
        <f>IF(Inputs!$J$5=1,100%-'Achievement Rates'!U8,IF(Inputs!$J$5=2,100%-'Achievement Rates'!U9,100%-'Achievement Rates'!U10))</f>
        <v>0.99</v>
      </c>
      <c r="T21" s="52">
        <f>IF(Inputs!$J$5=1,100%-'Achievement Rates'!V8,IF(Inputs!$J$5=2,100%-'Achievement Rates'!V9,100%-'Achievement Rates'!V10))</f>
        <v>1</v>
      </c>
      <c r="U21" s="52">
        <f>IF(Inputs!$J$5=1,100%-'Achievement Rates'!W8,IF(Inputs!$J$5=2,100%-'Achievement Rates'!W9,100%-'Achievement Rates'!W10))</f>
        <v>1</v>
      </c>
      <c r="V21" s="52">
        <f>IF(Inputs!$J$5=1,100%-'Achievement Rates'!X8,IF(Inputs!$J$5=2,100%-'Achievement Rates'!X9,100%-'Achievement Rates'!X10))</f>
        <v>1</v>
      </c>
      <c r="W21" s="52">
        <f>IF(Inputs!$J$5=1,100%-'Achievement Rates'!Y8,IF(Inputs!$J$5=2,100%-'Achievement Rates'!Y9,100%-'Achievement Rates'!Y10))</f>
        <v>1</v>
      </c>
    </row>
    <row r="22" spans="14:23" x14ac:dyDescent="0.3">
      <c r="N22" s="45" t="s">
        <v>148</v>
      </c>
      <c r="O22" s="52">
        <f>IF(Inputs!$J$5=1,100%-'Achievement Rates'!AD8,IF(Inputs!$J$5=2,100%-'Achievement Rates'!AD9,100%-'Achievement Rates'!AD10))</f>
        <v>0.91</v>
      </c>
      <c r="P22" s="52">
        <f>IF(Inputs!$J$5=1,100%-'Achievement Rates'!AE8,IF(Inputs!$J$5=2,100%-'Achievement Rates'!AE9,100%-'Achievement Rates'!AE10))</f>
        <v>0.93</v>
      </c>
      <c r="Q22" s="52">
        <f>IF(Inputs!$J$5=1,100%-'Achievement Rates'!AF8,IF(Inputs!$J$5=2,100%-'Achievement Rates'!AF9,100%-'Achievement Rates'!AF10))</f>
        <v>0.95</v>
      </c>
      <c r="R22" s="52">
        <f>IF(Inputs!$J$5=1,100%-'Achievement Rates'!AG8,IF(Inputs!$J$5=2,100%-'Achievement Rates'!AG9,100%-'Achievement Rates'!AG10))</f>
        <v>0.97</v>
      </c>
      <c r="S22" s="52">
        <f>IF(Inputs!$J$5=1,100%-'Achievement Rates'!AH8,IF(Inputs!$J$5=2,100%-'Achievement Rates'!AH9,100%-'Achievement Rates'!AH10))</f>
        <v>0.99</v>
      </c>
      <c r="T22" s="52">
        <f>IF(Inputs!$J$5=1,100%-'Achievement Rates'!AI8,IF(Inputs!$J$5=2,100%-'Achievement Rates'!AI9,100%-'Achievement Rates'!AI10))</f>
        <v>1</v>
      </c>
      <c r="U22" s="52">
        <f>IF(Inputs!$J$5=1,100%-'Achievement Rates'!AJ8,IF(Inputs!$J$5=2,100%-'Achievement Rates'!AJ9,100%-'Achievement Rates'!AJ10))</f>
        <v>1</v>
      </c>
      <c r="V22" s="52">
        <f>IF(Inputs!$J$5=1,100%-'Achievement Rates'!AK8,IF(Inputs!$J$5=2,100%-'Achievement Rates'!AK9,100%-'Achievement Rates'!AK10))</f>
        <v>1</v>
      </c>
      <c r="W22" s="52">
        <f>IF(Inputs!$J$5=1,100%-'Achievement Rates'!AL8,IF(Inputs!$J$5=2,100%-'Achievement Rates'!AL9,100%-'Achievement Rates'!AL10))</f>
        <v>1</v>
      </c>
    </row>
    <row r="23" spans="14:23" x14ac:dyDescent="0.3">
      <c r="N23" s="45" t="s">
        <v>149</v>
      </c>
      <c r="O23" s="52">
        <f>IF(Inputs!$J$5=1,100%-'Achievement Rates'!D11,IF(Inputs!$J$5=2,100%-'Achievement Rates'!D12,100%-'Achievement Rates'!D13))</f>
        <v>0.88</v>
      </c>
      <c r="P23" s="52">
        <f>IF(Inputs!$J$5=1,100%-'Achievement Rates'!E11,IF(Inputs!$J$5=2,100%-'Achievement Rates'!E12,100%-'Achievement Rates'!E13))</f>
        <v>0.9</v>
      </c>
      <c r="Q23" s="52">
        <f>IF(Inputs!$J$5=1,100%-'Achievement Rates'!F11,IF(Inputs!$J$5=2,100%-'Achievement Rates'!F12,100%-'Achievement Rates'!F13))</f>
        <v>0.92</v>
      </c>
      <c r="R23" s="52">
        <f>IF(Inputs!$J$5=1,100%-'Achievement Rates'!G11,IF(Inputs!$J$5=2,100%-'Achievement Rates'!G12,100%-'Achievement Rates'!G13))</f>
        <v>0.94</v>
      </c>
      <c r="S23" s="52">
        <f>IF(Inputs!$J$5=1,100%-'Achievement Rates'!H11,IF(Inputs!$J$5=2,100%-'Achievement Rates'!H12,100%-'Achievement Rates'!H13))</f>
        <v>0.96</v>
      </c>
      <c r="T23" s="52">
        <f>IF(Inputs!$J$5=1,100%-'Achievement Rates'!I11,IF(Inputs!$J$5=2,100%-'Achievement Rates'!I12,100%-'Achievement Rates'!I13))</f>
        <v>0.98</v>
      </c>
      <c r="U23" s="52">
        <f>IF(Inputs!$J$5=1,100%-'Achievement Rates'!J11,IF(Inputs!$J$5=2,100%-'Achievement Rates'!J12,100%-'Achievement Rates'!J13))</f>
        <v>1</v>
      </c>
      <c r="V23" s="52">
        <f>IF(Inputs!$J$5=1,100%-'Achievement Rates'!K11,IF(Inputs!$J$5=2,100%-'Achievement Rates'!K12,100%-'Achievement Rates'!K13))</f>
        <v>1</v>
      </c>
      <c r="W23" s="52">
        <f>IF(Inputs!$J$5=1,100%-'Achievement Rates'!L11,IF(Inputs!$J$5=2,100%-'Achievement Rates'!L12,100%-'Achievement Rates'!L13))</f>
        <v>1</v>
      </c>
    </row>
    <row r="24" spans="14:23" x14ac:dyDescent="0.3">
      <c r="N24" s="45" t="s">
        <v>150</v>
      </c>
      <c r="O24" s="52">
        <f>IF(Inputs!$J$5=1,100%-'Achievement Rates'!Q11,IF(Inputs!$J$5=2,100%-'Achievement Rates'!Q12,100%-'Achievement Rates'!Q13))</f>
        <v>0.88</v>
      </c>
      <c r="P24" s="52">
        <f>IF(Inputs!$J$5=1,100%-'Achievement Rates'!R11,IF(Inputs!$J$5=2,100%-'Achievement Rates'!R12,100%-'Achievement Rates'!R13))</f>
        <v>0.9</v>
      </c>
      <c r="Q24" s="52">
        <f>IF(Inputs!$J$5=1,100%-'Achievement Rates'!S11,IF(Inputs!$J$5=2,100%-'Achievement Rates'!S12,100%-'Achievement Rates'!S13))</f>
        <v>0.92</v>
      </c>
      <c r="R24" s="52">
        <f>IF(Inputs!$J$5=1,100%-'Achievement Rates'!T11,IF(Inputs!$J$5=2,100%-'Achievement Rates'!T12,100%-'Achievement Rates'!T13))</f>
        <v>0.94</v>
      </c>
      <c r="S24" s="52">
        <f>IF(Inputs!$J$5=1,100%-'Achievement Rates'!U11,IF(Inputs!$J$5=2,100%-'Achievement Rates'!U12,100%-'Achievement Rates'!U13))</f>
        <v>0.96</v>
      </c>
      <c r="T24" s="52">
        <f>IF(Inputs!$J$5=1,100%-'Achievement Rates'!V11,IF(Inputs!$J$5=2,100%-'Achievement Rates'!V12,100%-'Achievement Rates'!V13))</f>
        <v>0.98</v>
      </c>
      <c r="U24" s="52">
        <f>IF(Inputs!$J$5=1,100%-'Achievement Rates'!W11,IF(Inputs!$J$5=2,100%-'Achievement Rates'!W12,100%-'Achievement Rates'!W13))</f>
        <v>1</v>
      </c>
      <c r="V24" s="52">
        <f>IF(Inputs!$J$5=1,100%-'Achievement Rates'!X11,IF(Inputs!$J$5=2,100%-'Achievement Rates'!X12,100%-'Achievement Rates'!X13))</f>
        <v>1</v>
      </c>
      <c r="W24" s="52">
        <f>IF(Inputs!$J$5=1,100%-'Achievement Rates'!Y11,IF(Inputs!$J$5=2,100%-'Achievement Rates'!Y12,100%-'Achievement Rates'!Y13))</f>
        <v>1</v>
      </c>
    </row>
    <row r="25" spans="14:23" x14ac:dyDescent="0.3">
      <c r="N25" s="45" t="s">
        <v>151</v>
      </c>
      <c r="O25" s="52">
        <f>IF(Inputs!$J$5=1,100%-'Achievement Rates'!AD11,IF(Inputs!$J$5=2,100%-'Achievement Rates'!AD12,100%-'Achievement Rates'!AD13))</f>
        <v>0.88</v>
      </c>
      <c r="P25" s="52">
        <f>IF(Inputs!$J$5=1,100%-'Achievement Rates'!AE11,IF(Inputs!$J$5=2,100%-'Achievement Rates'!AE12,100%-'Achievement Rates'!AE13))</f>
        <v>0.9</v>
      </c>
      <c r="Q25" s="52">
        <f>IF(Inputs!$J$5=1,100%-'Achievement Rates'!AF11,IF(Inputs!$J$5=2,100%-'Achievement Rates'!AF12,100%-'Achievement Rates'!AF13))</f>
        <v>0.92</v>
      </c>
      <c r="R25" s="52">
        <f>IF(Inputs!$J$5=1,100%-'Achievement Rates'!AG11,IF(Inputs!$J$5=2,100%-'Achievement Rates'!AG12,100%-'Achievement Rates'!AG13))</f>
        <v>0.94</v>
      </c>
      <c r="S25" s="52">
        <f>IF(Inputs!$J$5=1,100%-'Achievement Rates'!AH11,IF(Inputs!$J$5=2,100%-'Achievement Rates'!AH12,100%-'Achievement Rates'!AH13))</f>
        <v>0.96</v>
      </c>
      <c r="T25" s="52">
        <f>IF(Inputs!$J$5=1,100%-'Achievement Rates'!AI11,IF(Inputs!$J$5=2,100%-'Achievement Rates'!AI12,100%-'Achievement Rates'!AI13))</f>
        <v>0.98</v>
      </c>
      <c r="U25" s="52">
        <f>IF(Inputs!$J$5=1,100%-'Achievement Rates'!AJ11,IF(Inputs!$J$5=2,100%-'Achievement Rates'!AJ12,100%-'Achievement Rates'!AJ13))</f>
        <v>1</v>
      </c>
      <c r="V25" s="52">
        <f>IF(Inputs!$J$5=1,100%-'Achievement Rates'!AK11,IF(Inputs!$J$5=2,100%-'Achievement Rates'!AK12,100%-'Achievement Rates'!AK13))</f>
        <v>1</v>
      </c>
      <c r="W25" s="52">
        <f>IF(Inputs!$J$5=1,100%-'Achievement Rates'!AL11,IF(Inputs!$J$5=2,100%-'Achievement Rates'!AL12,100%-'Achievement Rates'!AL13))</f>
        <v>1</v>
      </c>
    </row>
    <row r="27" spans="14:23" x14ac:dyDescent="0.3">
      <c r="N27" s="49" t="s">
        <v>102</v>
      </c>
      <c r="O27" s="3"/>
      <c r="P27" s="3"/>
    </row>
    <row r="29" spans="14:23" x14ac:dyDescent="0.3">
      <c r="N29" s="36" t="s">
        <v>56</v>
      </c>
      <c r="O29" s="20">
        <f>Inputs!$F$5+1</f>
        <v>2022</v>
      </c>
      <c r="P29" s="20">
        <f t="shared" ref="P29:W29" si="9">O29+1</f>
        <v>2023</v>
      </c>
      <c r="Q29" s="20">
        <f t="shared" si="9"/>
        <v>2024</v>
      </c>
      <c r="R29" s="20">
        <f t="shared" si="9"/>
        <v>2025</v>
      </c>
      <c r="S29" s="20">
        <f t="shared" si="9"/>
        <v>2026</v>
      </c>
      <c r="T29" s="20">
        <f t="shared" si="9"/>
        <v>2027</v>
      </c>
      <c r="U29" s="20">
        <f t="shared" si="9"/>
        <v>2028</v>
      </c>
      <c r="V29" s="20">
        <f t="shared" si="9"/>
        <v>2029</v>
      </c>
      <c r="W29" s="20">
        <f t="shared" si="9"/>
        <v>2030</v>
      </c>
    </row>
    <row r="30" spans="14:23" x14ac:dyDescent="0.3">
      <c r="N30" s="45" t="s">
        <v>57</v>
      </c>
      <c r="O30" s="46">
        <f>Financing!C17/1000000</f>
        <v>5.8198436604000028</v>
      </c>
      <c r="P30" s="46">
        <f>Financing!D17/1000000</f>
        <v>6.6644343307080067</v>
      </c>
      <c r="Q30" s="46">
        <f>Financing!E17/1000000</f>
        <v>8.5668760335690894</v>
      </c>
      <c r="R30" s="46">
        <f>Financing!F17/1000000</f>
        <v>10.180418990910638</v>
      </c>
      <c r="S30" s="46">
        <f>Financing!G17/1000000</f>
        <v>11.124100651708211</v>
      </c>
      <c r="T30" s="46">
        <f>Financing!H17/1000000</f>
        <v>7.931399514677361</v>
      </c>
      <c r="U30" s="46">
        <f>Financing!I17/1000000</f>
        <v>9.160296160425812</v>
      </c>
      <c r="V30" s="46">
        <f>Financing!J17/1000000</f>
        <v>9.6675775958103163</v>
      </c>
      <c r="W30" s="46">
        <f>Financing!K17/1000000</f>
        <v>10.432802367166911</v>
      </c>
    </row>
    <row r="31" spans="14:23" x14ac:dyDescent="0.3">
      <c r="N31" s="45" t="s">
        <v>61</v>
      </c>
      <c r="O31" s="46">
        <f>Financing!C18/1000000</f>
        <v>0.20630325000000019</v>
      </c>
      <c r="P31" s="46">
        <f>Financing!D18/1000000</f>
        <v>0.22229792130000023</v>
      </c>
      <c r="Q31" s="46">
        <f>Financing!E18/1000000</f>
        <v>0.22974407677305031</v>
      </c>
      <c r="R31" s="46">
        <f>Financing!F18/1000000</f>
        <v>0.24940737522807299</v>
      </c>
      <c r="S31" s="46">
        <f>Financing!G18/1000000</f>
        <v>0.2719713242071739</v>
      </c>
      <c r="T31" s="46">
        <f>Financing!H18/1000000</f>
        <v>0.22310495833793642</v>
      </c>
      <c r="U31" s="46">
        <f>Financing!I18/1000000</f>
        <v>0.24667255478155281</v>
      </c>
      <c r="V31" s="46">
        <f>Financing!J18/1000000</f>
        <v>0.27271797749327925</v>
      </c>
      <c r="W31" s="46">
        <f>Financing!K18/1000000</f>
        <v>0.2461949616058513</v>
      </c>
    </row>
    <row r="32" spans="14:23" x14ac:dyDescent="0.3">
      <c r="N32" s="45" t="s">
        <v>62</v>
      </c>
      <c r="O32" s="46">
        <f>Financing!C19/1000000</f>
        <v>1.3174022500000009</v>
      </c>
      <c r="P32" s="46">
        <f>Financing!D19/1000000</f>
        <v>1.5419543575000014</v>
      </c>
      <c r="Q32" s="46">
        <f>Financing!E19/1000000</f>
        <v>2.0362620534725018</v>
      </c>
      <c r="R32" s="46">
        <f>Financing!F19/1000000</f>
        <v>2.4531851586214248</v>
      </c>
      <c r="S32" s="46">
        <f>Financing!G19/1000000</f>
        <v>2.6914080643530349</v>
      </c>
      <c r="T32" s="46">
        <f>Financing!H19/1000000</f>
        <v>2.1087285700134357</v>
      </c>
      <c r="U32" s="46">
        <f>Financing!I19/1000000</f>
        <v>2.4354564648430856</v>
      </c>
      <c r="V32" s="46">
        <f>Financing!J19/1000000</f>
        <v>2.5703278521503545</v>
      </c>
      <c r="W32" s="46">
        <f>Financing!K19/1000000</f>
        <v>2.7737788742373799</v>
      </c>
    </row>
    <row r="33" spans="14:23" x14ac:dyDescent="0.3">
      <c r="N33" s="45" t="s">
        <v>63</v>
      </c>
      <c r="O33" s="46">
        <f>Financing!C20/1000000</f>
        <v>1.679734800000001</v>
      </c>
      <c r="P33" s="46">
        <f>Financing!D20/1000000</f>
        <v>2.1506334760000021</v>
      </c>
      <c r="Q33" s="46">
        <f>Financing!E20/1000000</f>
        <v>2.9856149481004475</v>
      </c>
      <c r="R33" s="46">
        <f>Financing!F20/1000000</f>
        <v>3.8127064703987932</v>
      </c>
      <c r="S33" s="46">
        <f>Financing!G20/1000000</f>
        <v>4.4260761984250916</v>
      </c>
      <c r="T33" s="46">
        <f>Financing!H20/1000000</f>
        <v>3.8691214462265022</v>
      </c>
      <c r="U33" s="46">
        <f>Financing!I20/1000000</f>
        <v>4.5327810304263467</v>
      </c>
      <c r="V33" s="46">
        <f>Financing!J20/1000000</f>
        <v>5.0370933088258365</v>
      </c>
      <c r="W33" s="46">
        <f>Financing!K20/1000000</f>
        <v>5.6859049268293296</v>
      </c>
    </row>
    <row r="34" spans="14:23" x14ac:dyDescent="0.3">
      <c r="N34" s="45" t="s">
        <v>79</v>
      </c>
      <c r="O34" s="46">
        <f>Financing!C21/1000000</f>
        <v>1.4453532000000009</v>
      </c>
      <c r="P34" s="46">
        <f>Financing!D21/1000000</f>
        <v>1.8505450840000017</v>
      </c>
      <c r="Q34" s="46">
        <f>Financing!E21/1000000</f>
        <v>2.5690175134817803</v>
      </c>
      <c r="R34" s="46">
        <f>Financing!F21/1000000</f>
        <v>3.2807009163896592</v>
      </c>
      <c r="S34" s="46">
        <f>Financing!G21/1000000</f>
        <v>3.8084841707378692</v>
      </c>
      <c r="T34" s="46">
        <f>Financing!H21/1000000</f>
        <v>3.32924403512513</v>
      </c>
      <c r="U34" s="46">
        <f>Financing!I21/1000000</f>
        <v>3.9002999564133671</v>
      </c>
      <c r="V34" s="46">
        <f>Financing!J21/1000000</f>
        <v>4.3342430796873472</v>
      </c>
      <c r="W34" s="46">
        <f>Financing!K21/1000000</f>
        <v>4.8925228440159341</v>
      </c>
    </row>
    <row r="35" spans="14:23" x14ac:dyDescent="0.3">
      <c r="N35" s="45" t="s">
        <v>64</v>
      </c>
      <c r="O35" s="46">
        <f>Financing!C23/1000000</f>
        <v>2.9862000000000002</v>
      </c>
      <c r="P35" s="46">
        <f>Financing!D23/1000000</f>
        <v>3.13551</v>
      </c>
      <c r="Q35" s="46">
        <f>Financing!E23/1000000</f>
        <v>3.2922855000000002</v>
      </c>
      <c r="R35" s="46">
        <f>Financing!F23/1000000</f>
        <v>3.5606067682500004</v>
      </c>
      <c r="S35" s="46">
        <f>Financing!G23/1000000</f>
        <v>3.8507962198623753</v>
      </c>
      <c r="T35" s="46">
        <f>Financing!H23/1000000</f>
        <v>4.1646361117811601</v>
      </c>
      <c r="U35" s="46">
        <f>Financing!I23/1000000</f>
        <v>4.5040539548913241</v>
      </c>
      <c r="V35" s="46">
        <f>Financing!J23/1000000</f>
        <v>4.871134352214967</v>
      </c>
      <c r="W35" s="46">
        <f>Financing!K23/1000000</f>
        <v>5.2681318019204877</v>
      </c>
    </row>
    <row r="36" spans="14:23" x14ac:dyDescent="0.3">
      <c r="N36" s="45" t="s">
        <v>95</v>
      </c>
      <c r="O36" s="47">
        <f>Financing!C27/1000000</f>
        <v>18.564087160400007</v>
      </c>
      <c r="P36" s="47">
        <f>Financing!D27/1000000</f>
        <v>20.688300169508011</v>
      </c>
      <c r="Q36" s="47">
        <f>Financing!E27/1000000</f>
        <v>25.069761375396869</v>
      </c>
      <c r="R36" s="47">
        <f>Financing!F27/1000000</f>
        <v>29.208463992298586</v>
      </c>
      <c r="S36" s="47">
        <f>Financing!G27/1000000</f>
        <v>32.141023757418758</v>
      </c>
      <c r="T36" s="47">
        <f>Financing!H27/1000000</f>
        <v>27.588444730692775</v>
      </c>
      <c r="U36" s="47">
        <f>Financing!I27/1000000</f>
        <v>31.039880721039303</v>
      </c>
      <c r="V36" s="47">
        <f>Financing!J27/1000000</f>
        <v>33.3264307954028</v>
      </c>
      <c r="W36" s="47">
        <f>Financing!K27/1000000</f>
        <v>36.201339236457642</v>
      </c>
    </row>
    <row r="37" spans="14:23" ht="11.25" customHeight="1" x14ac:dyDescent="0.3"/>
    <row r="50" spans="1:15" x14ac:dyDescent="0.3">
      <c r="O50" s="3"/>
    </row>
    <row r="51" spans="1:15" x14ac:dyDescent="0.3">
      <c r="A51" s="3"/>
      <c r="B51" s="3"/>
      <c r="N51" s="3"/>
      <c r="O51" s="3"/>
    </row>
    <row r="52" spans="1:15" x14ac:dyDescent="0.3">
      <c r="A52" s="3"/>
      <c r="B52" s="3"/>
      <c r="N52" s="3"/>
      <c r="O52" s="3"/>
    </row>
    <row r="53" spans="1:15" x14ac:dyDescent="0.3">
      <c r="A53" s="3"/>
      <c r="B53" s="3"/>
      <c r="N53" s="3"/>
      <c r="O53" s="3"/>
    </row>
    <row r="54" spans="1:15" x14ac:dyDescent="0.3">
      <c r="A54" s="3"/>
      <c r="B54" s="3"/>
      <c r="N54" s="3"/>
      <c r="O54" s="3"/>
    </row>
    <row r="55" spans="1:15" x14ac:dyDescent="0.3">
      <c r="A55" s="3"/>
      <c r="B55" s="3"/>
      <c r="N55" s="3"/>
      <c r="O55" s="3"/>
    </row>
    <row r="56" spans="1:15" x14ac:dyDescent="0.3">
      <c r="A56" s="3"/>
      <c r="B56" s="3"/>
      <c r="N56" s="3"/>
      <c r="O56" s="3"/>
    </row>
    <row r="57" spans="1:15" x14ac:dyDescent="0.3">
      <c r="A57" s="3"/>
      <c r="B57" s="3"/>
      <c r="N57" s="3"/>
      <c r="O57" s="3"/>
    </row>
    <row r="58" spans="1:15" x14ac:dyDescent="0.3">
      <c r="A58" s="3"/>
      <c r="B58" s="3"/>
      <c r="N58" s="3"/>
      <c r="O58" s="3"/>
    </row>
    <row r="59" spans="1:15" x14ac:dyDescent="0.3">
      <c r="A59" s="3"/>
      <c r="B59" s="3"/>
      <c r="N59" s="3"/>
      <c r="O59" s="3"/>
    </row>
    <row r="60" spans="1:15" x14ac:dyDescent="0.3">
      <c r="A60" s="3"/>
      <c r="B60" s="3"/>
      <c r="N60" s="3"/>
      <c r="O60" s="3"/>
    </row>
    <row r="61" spans="1:15" x14ac:dyDescent="0.3">
      <c r="A61" s="3"/>
      <c r="B61" s="3"/>
      <c r="N61" s="3"/>
      <c r="O61" s="3"/>
    </row>
    <row r="62" spans="1:15" x14ac:dyDescent="0.3">
      <c r="A62" s="3"/>
      <c r="B62" s="3"/>
      <c r="N62" s="3"/>
      <c r="O62" s="3"/>
    </row>
    <row r="63" spans="1:15" x14ac:dyDescent="0.3">
      <c r="A63" s="3"/>
      <c r="B63" s="3"/>
      <c r="N63" s="3"/>
      <c r="O63" s="3"/>
    </row>
    <row r="64" spans="1:15" x14ac:dyDescent="0.3">
      <c r="A64" s="3"/>
      <c r="B64" s="3"/>
      <c r="N64" s="3"/>
      <c r="O64" s="3"/>
    </row>
    <row r="65" spans="1:23" x14ac:dyDescent="0.3">
      <c r="A65" s="3" t="s">
        <v>103</v>
      </c>
      <c r="B65" s="3"/>
      <c r="N65" s="3" t="s">
        <v>107</v>
      </c>
      <c r="O65" s="3"/>
    </row>
    <row r="67" spans="1:23" s="22" customFormat="1" x14ac:dyDescent="0.3">
      <c r="A67" s="20" t="s">
        <v>51</v>
      </c>
      <c r="B67" s="20" t="s">
        <v>111</v>
      </c>
      <c r="C67" s="10">
        <f>Inputs!$F$5</f>
        <v>2021</v>
      </c>
      <c r="D67" s="10">
        <f>C67+1</f>
        <v>2022</v>
      </c>
      <c r="E67" s="10">
        <f t="shared" ref="E67:L67" si="10">D67+1</f>
        <v>2023</v>
      </c>
      <c r="F67" s="10">
        <f t="shared" si="10"/>
        <v>2024</v>
      </c>
      <c r="G67" s="10">
        <f t="shared" si="10"/>
        <v>2025</v>
      </c>
      <c r="H67" s="10">
        <f t="shared" si="10"/>
        <v>2026</v>
      </c>
      <c r="I67" s="10">
        <f t="shared" si="10"/>
        <v>2027</v>
      </c>
      <c r="J67" s="10">
        <f t="shared" si="10"/>
        <v>2028</v>
      </c>
      <c r="K67" s="10">
        <f t="shared" si="10"/>
        <v>2029</v>
      </c>
      <c r="L67" s="10">
        <f t="shared" si="10"/>
        <v>2030</v>
      </c>
      <c r="N67" s="20" t="s">
        <v>51</v>
      </c>
      <c r="O67" s="20">
        <f>Inputs!$F$5+1</f>
        <v>2022</v>
      </c>
      <c r="P67" s="20">
        <f>O67+1</f>
        <v>2023</v>
      </c>
      <c r="Q67" s="20">
        <f t="shared" ref="Q67:W67" si="11">P67+1</f>
        <v>2024</v>
      </c>
      <c r="R67" s="20">
        <f t="shared" si="11"/>
        <v>2025</v>
      </c>
      <c r="S67" s="20">
        <f t="shared" si="11"/>
        <v>2026</v>
      </c>
      <c r="T67" s="20">
        <f t="shared" si="11"/>
        <v>2027</v>
      </c>
      <c r="U67" s="20">
        <f t="shared" si="11"/>
        <v>2028</v>
      </c>
      <c r="V67" s="20">
        <f t="shared" si="11"/>
        <v>2029</v>
      </c>
      <c r="W67" s="20">
        <f t="shared" si="11"/>
        <v>2030</v>
      </c>
    </row>
    <row r="68" spans="1:23" s="22" customFormat="1" x14ac:dyDescent="0.3">
      <c r="A68" s="20" t="s">
        <v>13</v>
      </c>
      <c r="B68" s="50" t="s">
        <v>112</v>
      </c>
      <c r="C68" s="51">
        <f>Enrolment!C8</f>
        <v>0.35679345298986331</v>
      </c>
      <c r="D68" s="52">
        <f>Enrolment!D8</f>
        <v>0.35151061120470289</v>
      </c>
      <c r="E68" s="52">
        <f>Enrolment!E8</f>
        <v>0.29595469368033051</v>
      </c>
      <c r="F68" s="52">
        <f>Enrolment!F8</f>
        <v>0.33520431251744631</v>
      </c>
      <c r="G68" s="52">
        <f>Enrolment!G8</f>
        <v>0.38078554615608018</v>
      </c>
      <c r="H68" s="52">
        <f>Enrolment!H8</f>
        <v>0.4646279536737048</v>
      </c>
      <c r="I68" s="52">
        <f>Enrolment!I8</f>
        <v>0.5629993340130387</v>
      </c>
      <c r="J68" s="52">
        <f>Enrolment!J8</f>
        <v>0.69302091906364971</v>
      </c>
      <c r="K68" s="52">
        <f>Enrolment!K8</f>
        <v>0.71809514770824312</v>
      </c>
      <c r="L68" s="52">
        <f>Enrolment!L8</f>
        <v>0.73887785528253969</v>
      </c>
      <c r="N68" s="20" t="s">
        <v>13</v>
      </c>
      <c r="O68" s="53">
        <f>SUM(Enrolment!D22:D24)</f>
        <v>514290.41000000003</v>
      </c>
      <c r="P68" s="53">
        <f>SUM(Enrolment!E22:E24)</f>
        <v>418737.28660000005</v>
      </c>
      <c r="Q68" s="53">
        <f>SUM(Enrolment!F22:F24)</f>
        <v>445328.46911000006</v>
      </c>
      <c r="R68" s="53">
        <f>SUM(Enrolment!G22:G24)</f>
        <v>474388.78834040015</v>
      </c>
      <c r="S68" s="53">
        <f>SUM(Enrolment!H22:H24)</f>
        <v>505308.71418007888</v>
      </c>
      <c r="T68" s="53">
        <f>SUM(Enrolment!I22:I24)</f>
        <v>538209.13329104392</v>
      </c>
      <c r="U68" s="53">
        <f>SUM(Enrolment!J22:J24)</f>
        <v>573221.28900002514</v>
      </c>
      <c r="V68" s="53">
        <f>SUM(Enrolment!K22:K24)</f>
        <v>608810.06654011481</v>
      </c>
      <c r="W68" s="53">
        <f>SUM(Enrolment!L22:L24)</f>
        <v>642090.6541662137</v>
      </c>
    </row>
    <row r="69" spans="1:23" s="22" customFormat="1" x14ac:dyDescent="0.3">
      <c r="A69" s="20" t="s">
        <v>14</v>
      </c>
      <c r="B69" s="50" t="s">
        <v>112</v>
      </c>
      <c r="C69" s="51">
        <f>Enrolment!C9</f>
        <v>0.52346835992047169</v>
      </c>
      <c r="D69" s="52">
        <f>Enrolment!D9</f>
        <v>0.45586422754687678</v>
      </c>
      <c r="E69" s="52">
        <f>Enrolment!E9</f>
        <v>0.35169815957878026</v>
      </c>
      <c r="F69" s="52">
        <f>Enrolment!F9</f>
        <v>0.41543269895819507</v>
      </c>
      <c r="G69" s="52">
        <f>Enrolment!G9</f>
        <v>0.51943997168121658</v>
      </c>
      <c r="H69" s="52">
        <f>Enrolment!H9</f>
        <v>0.5712398660729211</v>
      </c>
      <c r="I69" s="52">
        <f>Enrolment!I9</f>
        <v>0.5991425028726286</v>
      </c>
      <c r="J69" s="52">
        <f>Enrolment!J9</f>
        <v>0.62962024205512346</v>
      </c>
      <c r="K69" s="52">
        <f>Enrolment!K9</f>
        <v>0.66168854618784889</v>
      </c>
      <c r="L69" s="52">
        <f>Enrolment!L9</f>
        <v>0.69543101428689624</v>
      </c>
      <c r="N69" s="20" t="s">
        <v>14</v>
      </c>
      <c r="O69" s="53">
        <f>SUM(Enrolment!D27:D29)</f>
        <v>449654.83999999997</v>
      </c>
      <c r="P69" s="53">
        <f>SUM(Enrolment!E27:E29)</f>
        <v>337627.37549999997</v>
      </c>
      <c r="Q69" s="53">
        <f>SUM(Enrolment!F27:F29)</f>
        <v>356537.46779100009</v>
      </c>
      <c r="R69" s="53">
        <f>SUM(Enrolment!G27:G29)</f>
        <v>378945.50928417011</v>
      </c>
      <c r="S69" s="53">
        <f>SUM(Enrolment!H27:H29)</f>
        <v>402855.94539676962</v>
      </c>
      <c r="T69" s="53">
        <f>SUM(Enrolment!I27:I29)</f>
        <v>429926.83625419921</v>
      </c>
      <c r="U69" s="53">
        <f>SUM(Enrolment!J27:J29)</f>
        <v>459703.19842975942</v>
      </c>
      <c r="V69" s="53">
        <f>SUM(Enrolment!K27:K29)</f>
        <v>491571.70678784372</v>
      </c>
      <c r="W69" s="53">
        <f>SUM(Enrolment!L27:L29)</f>
        <v>525680.33909078909</v>
      </c>
    </row>
    <row r="70" spans="1:23" s="22" customFormat="1" x14ac:dyDescent="0.3">
      <c r="A70" s="20" t="s">
        <v>18</v>
      </c>
      <c r="B70" s="50" t="s">
        <v>112</v>
      </c>
      <c r="C70" s="51">
        <f>Enrolment!C10</f>
        <v>0.42278947676746764</v>
      </c>
      <c r="D70" s="52">
        <f>Enrolment!D10</f>
        <v>0.39353292577936261</v>
      </c>
      <c r="E70" s="52">
        <f>Enrolment!E10</f>
        <v>0.31848791334189724</v>
      </c>
      <c r="F70" s="52">
        <f>Enrolment!F10</f>
        <v>0.3666913226694784</v>
      </c>
      <c r="G70" s="52">
        <f>Enrolment!G10</f>
        <v>0.43199292782195575</v>
      </c>
      <c r="H70" s="52">
        <f>Enrolment!H10</f>
        <v>0.50656602599400313</v>
      </c>
      <c r="I70" s="52">
        <f>Enrolment!I10</f>
        <v>0.57849660073507791</v>
      </c>
      <c r="J70" s="52">
        <f>Enrolment!J10</f>
        <v>0.66329528837064533</v>
      </c>
      <c r="K70" s="52">
        <f>Enrolment!K10</f>
        <v>0.69175185017747076</v>
      </c>
      <c r="L70" s="52">
        <f>Enrolment!L10</f>
        <v>0.71866649252769366</v>
      </c>
      <c r="N70" s="20" t="s">
        <v>18</v>
      </c>
      <c r="O70" s="53">
        <f>O68+O69</f>
        <v>963945.25</v>
      </c>
      <c r="P70" s="53">
        <f t="shared" ref="P70:W70" si="12">P68+P69</f>
        <v>756364.66210000007</v>
      </c>
      <c r="Q70" s="53">
        <f t="shared" si="12"/>
        <v>801865.9369010001</v>
      </c>
      <c r="R70" s="53">
        <f t="shared" si="12"/>
        <v>853334.29762457032</v>
      </c>
      <c r="S70" s="53">
        <f t="shared" si="12"/>
        <v>908164.6595768485</v>
      </c>
      <c r="T70" s="53">
        <f t="shared" si="12"/>
        <v>968135.96954524308</v>
      </c>
      <c r="U70" s="53">
        <f t="shared" si="12"/>
        <v>1032924.4874297846</v>
      </c>
      <c r="V70" s="53">
        <f t="shared" si="12"/>
        <v>1100381.7733279585</v>
      </c>
      <c r="W70" s="53">
        <f t="shared" si="12"/>
        <v>1167770.9932570029</v>
      </c>
    </row>
    <row r="72" spans="1:23" x14ac:dyDescent="0.3">
      <c r="A72" s="3" t="s">
        <v>104</v>
      </c>
      <c r="B72" s="3"/>
      <c r="N72" s="3" t="s">
        <v>110</v>
      </c>
      <c r="O72" s="3"/>
    </row>
    <row r="74" spans="1:23" s="22" customFormat="1" x14ac:dyDescent="0.3">
      <c r="A74" s="20" t="s">
        <v>51</v>
      </c>
      <c r="B74" s="20" t="s">
        <v>111</v>
      </c>
      <c r="C74" s="10">
        <f>Inputs!$F$5</f>
        <v>2021</v>
      </c>
      <c r="D74" s="10">
        <f>C74+1</f>
        <v>2022</v>
      </c>
      <c r="E74" s="10">
        <f t="shared" ref="E74:L74" si="13">D74+1</f>
        <v>2023</v>
      </c>
      <c r="F74" s="10">
        <f t="shared" si="13"/>
        <v>2024</v>
      </c>
      <c r="G74" s="10">
        <f t="shared" si="13"/>
        <v>2025</v>
      </c>
      <c r="H74" s="10">
        <f t="shared" si="13"/>
        <v>2026</v>
      </c>
      <c r="I74" s="10">
        <f t="shared" si="13"/>
        <v>2027</v>
      </c>
      <c r="J74" s="10">
        <f t="shared" si="13"/>
        <v>2028</v>
      </c>
      <c r="K74" s="10">
        <f t="shared" si="13"/>
        <v>2029</v>
      </c>
      <c r="L74" s="10">
        <f t="shared" si="13"/>
        <v>2030</v>
      </c>
      <c r="N74" s="20" t="s">
        <v>51</v>
      </c>
      <c r="O74" s="20">
        <f>Inputs!$F$5+1</f>
        <v>2022</v>
      </c>
      <c r="P74" s="20">
        <f>O74+1</f>
        <v>2023</v>
      </c>
      <c r="Q74" s="20">
        <f t="shared" ref="Q74:W74" si="14">P74+1</f>
        <v>2024</v>
      </c>
      <c r="R74" s="20">
        <f t="shared" si="14"/>
        <v>2025</v>
      </c>
      <c r="S74" s="20">
        <f t="shared" si="14"/>
        <v>2026</v>
      </c>
      <c r="T74" s="20">
        <f t="shared" si="14"/>
        <v>2027</v>
      </c>
      <c r="U74" s="20">
        <f t="shared" si="14"/>
        <v>2028</v>
      </c>
      <c r="V74" s="20">
        <f t="shared" si="14"/>
        <v>2029</v>
      </c>
      <c r="W74" s="20">
        <f t="shared" si="14"/>
        <v>2030</v>
      </c>
    </row>
    <row r="75" spans="1:23" s="22" customFormat="1" x14ac:dyDescent="0.3">
      <c r="A75" s="20" t="s">
        <v>13</v>
      </c>
      <c r="B75" s="50" t="s">
        <v>112</v>
      </c>
      <c r="C75" s="51">
        <f>Enrolment!P8</f>
        <v>0.1492593429076271</v>
      </c>
      <c r="D75" s="52">
        <f>Enrolment!Q8</f>
        <v>0.13287165010903199</v>
      </c>
      <c r="E75" s="52">
        <f>Enrolment!R8</f>
        <v>0.13148500041145009</v>
      </c>
      <c r="F75" s="52">
        <f>Enrolment!S8</f>
        <v>0.14825179185171175</v>
      </c>
      <c r="G75" s="52">
        <f>Enrolment!T8</f>
        <v>0.16791048682463289</v>
      </c>
      <c r="H75" s="52">
        <f>Enrolment!U8</f>
        <v>0.20422205814655833</v>
      </c>
      <c r="I75" s="52">
        <f>Enrolment!V8</f>
        <v>0.24661060753998679</v>
      </c>
      <c r="J75" s="52">
        <f>Enrolment!W8</f>
        <v>0.30246060494552879</v>
      </c>
      <c r="K75" s="52">
        <f>Enrolment!X8</f>
        <v>0.31108796610443629</v>
      </c>
      <c r="L75" s="52">
        <f>Enrolment!Y8</f>
        <v>0.31874854342187797</v>
      </c>
      <c r="N75" s="20" t="s">
        <v>13</v>
      </c>
      <c r="O75" s="53">
        <f>SUM(Enrolment!Q22:Q24)</f>
        <v>194402.71000000002</v>
      </c>
      <c r="P75" s="53">
        <f>SUM(Enrolment!R22:R24)</f>
        <v>186034.1244</v>
      </c>
      <c r="Q75" s="53">
        <f>SUM(Enrolment!S22:S24)</f>
        <v>196956.72472800003</v>
      </c>
      <c r="R75" s="53">
        <f>SUM(Enrolment!T22:T24)</f>
        <v>209185.59855666003</v>
      </c>
      <c r="S75" s="53">
        <f>SUM(Enrolment!U22:U24)</f>
        <v>222102.83473757107</v>
      </c>
      <c r="T75" s="53">
        <f>SUM(Enrolment!V22:V24)</f>
        <v>235751.75550989225</v>
      </c>
      <c r="U75" s="53">
        <f>SUM(Enrolment!W22:W24)</f>
        <v>250175.50418659119</v>
      </c>
      <c r="V75" s="53">
        <f>SUM(Enrolment!X22:X24)</f>
        <v>263744.27671362017</v>
      </c>
      <c r="W75" s="53">
        <f>SUM(Enrolment!Y22:Y24)</f>
        <v>276994.98543236125</v>
      </c>
    </row>
    <row r="76" spans="1:23" s="22" customFormat="1" x14ac:dyDescent="0.3">
      <c r="A76" s="20" t="s">
        <v>14</v>
      </c>
      <c r="B76" s="50" t="s">
        <v>112</v>
      </c>
      <c r="C76" s="51">
        <f>Enrolment!P9</f>
        <v>0.18391233236523857</v>
      </c>
      <c r="D76" s="52">
        <f>Enrolment!Q9</f>
        <v>0.14139304353611606</v>
      </c>
      <c r="E76" s="52">
        <f>Enrolment!R9</f>
        <v>0.12363733979733685</v>
      </c>
      <c r="F76" s="52">
        <f>Enrolment!S9</f>
        <v>0.1455860578214776</v>
      </c>
      <c r="G76" s="52">
        <f>Enrolment!T9</f>
        <v>0.18358608697639919</v>
      </c>
      <c r="H76" s="52">
        <f>Enrolment!U9</f>
        <v>0.20367297597416109</v>
      </c>
      <c r="I76" s="52">
        <f>Enrolment!V9</f>
        <v>0.21528153047980816</v>
      </c>
      <c r="J76" s="52">
        <f>Enrolment!W9</f>
        <v>0.22872133142606177</v>
      </c>
      <c r="K76" s="52">
        <f>Enrolment!X9</f>
        <v>0.24297174829427548</v>
      </c>
      <c r="L76" s="52">
        <f>Enrolment!Y9</f>
        <v>0.25807970177281853</v>
      </c>
      <c r="N76" s="20" t="s">
        <v>14</v>
      </c>
      <c r="O76" s="53">
        <f>SUM(Enrolment!Q27:Q29)</f>
        <v>139467.11000000002</v>
      </c>
      <c r="P76" s="53">
        <f>SUM(Enrolment!R27:R29)</f>
        <v>118690.84160000001</v>
      </c>
      <c r="Q76" s="53">
        <f>SUM(Enrolment!S27:S29)</f>
        <v>124946.554596</v>
      </c>
      <c r="R76" s="53">
        <f>SUM(Enrolment!T27:T29)</f>
        <v>133931.01613184004</v>
      </c>
      <c r="S76" s="53">
        <f>SUM(Enrolment!U27:U29)</f>
        <v>143636.45494827925</v>
      </c>
      <c r="T76" s="53">
        <f>SUM(Enrolment!V27:V29)</f>
        <v>154479.62189192604</v>
      </c>
      <c r="U76" s="53">
        <f>SUM(Enrolment!W27:W29)</f>
        <v>166995.78663874703</v>
      </c>
      <c r="V76" s="53">
        <f>SUM(Enrolment!X27:X29)</f>
        <v>180504.91836129758</v>
      </c>
      <c r="W76" s="53">
        <f>SUM(Enrolment!Y27:Y29)</f>
        <v>195083.94413427197</v>
      </c>
    </row>
    <row r="77" spans="1:23" s="22" customFormat="1" x14ac:dyDescent="0.3">
      <c r="A77" s="20" t="s">
        <v>18</v>
      </c>
      <c r="B77" s="50" t="s">
        <v>112</v>
      </c>
      <c r="C77" s="51">
        <f>Enrolment!P10</f>
        <v>0.16298042161302412</v>
      </c>
      <c r="D77" s="52">
        <f>Enrolment!Q10</f>
        <v>0.13630314283309056</v>
      </c>
      <c r="E77" s="52">
        <f>Enrolment!R10</f>
        <v>0.12831273514955582</v>
      </c>
      <c r="F77" s="52">
        <f>Enrolment!S10</f>
        <v>0.1472055786820802</v>
      </c>
      <c r="G77" s="52">
        <f>Enrolment!T10</f>
        <v>0.17369974624980455</v>
      </c>
      <c r="H77" s="52">
        <f>Enrolment!U10</f>
        <v>0.20400606494901061</v>
      </c>
      <c r="I77" s="52">
        <f>Enrolment!V10</f>
        <v>0.23317750029797801</v>
      </c>
      <c r="J77" s="52">
        <f>Enrolment!W10</f>
        <v>0.26788768686903353</v>
      </c>
      <c r="K77" s="52">
        <f>Enrolment!X10</f>
        <v>0.27927598410096122</v>
      </c>
      <c r="L77" s="52">
        <f>Enrolment!Y10</f>
        <v>0.29052554864514829</v>
      </c>
      <c r="N77" s="20" t="s">
        <v>18</v>
      </c>
      <c r="O77" s="53">
        <f>O75+O76</f>
        <v>333869.82000000007</v>
      </c>
      <c r="P77" s="53">
        <f t="shared" ref="P77" si="15">P75+P76</f>
        <v>304724.96600000001</v>
      </c>
      <c r="Q77" s="53">
        <f t="shared" ref="Q77" si="16">Q75+Q76</f>
        <v>321903.279324</v>
      </c>
      <c r="R77" s="53">
        <f t="shared" ref="R77" si="17">R75+R76</f>
        <v>343116.61468850006</v>
      </c>
      <c r="S77" s="53">
        <f t="shared" ref="S77" si="18">S75+S76</f>
        <v>365739.28968585032</v>
      </c>
      <c r="T77" s="53">
        <f t="shared" ref="T77" si="19">T75+T76</f>
        <v>390231.37740181829</v>
      </c>
      <c r="U77" s="53">
        <f t="shared" ref="U77" si="20">U75+U76</f>
        <v>417171.29082533822</v>
      </c>
      <c r="V77" s="53">
        <f t="shared" ref="V77" si="21">V75+V76</f>
        <v>444249.19507491775</v>
      </c>
      <c r="W77" s="53">
        <f t="shared" ref="W77" si="22">W75+W76</f>
        <v>472078.92956663319</v>
      </c>
    </row>
    <row r="79" spans="1:23" x14ac:dyDescent="0.3">
      <c r="A79" s="3" t="s">
        <v>105</v>
      </c>
      <c r="B79" s="3"/>
      <c r="N79" s="3" t="s">
        <v>109</v>
      </c>
      <c r="O79" s="3"/>
    </row>
    <row r="81" spans="1:23" s="22" customFormat="1" x14ac:dyDescent="0.3">
      <c r="A81" s="20" t="s">
        <v>51</v>
      </c>
      <c r="B81" s="20" t="s">
        <v>111</v>
      </c>
      <c r="C81" s="10">
        <f>Inputs!$F$5</f>
        <v>2021</v>
      </c>
      <c r="D81" s="10">
        <f>C81+1</f>
        <v>2022</v>
      </c>
      <c r="E81" s="10">
        <f t="shared" ref="E81:L81" si="23">D81+1</f>
        <v>2023</v>
      </c>
      <c r="F81" s="10">
        <f t="shared" si="23"/>
        <v>2024</v>
      </c>
      <c r="G81" s="10">
        <f t="shared" si="23"/>
        <v>2025</v>
      </c>
      <c r="H81" s="10">
        <f t="shared" si="23"/>
        <v>2026</v>
      </c>
      <c r="I81" s="10">
        <f t="shared" si="23"/>
        <v>2027</v>
      </c>
      <c r="J81" s="10">
        <f t="shared" si="23"/>
        <v>2028</v>
      </c>
      <c r="K81" s="10">
        <f t="shared" si="23"/>
        <v>2029</v>
      </c>
      <c r="L81" s="10">
        <f t="shared" si="23"/>
        <v>2030</v>
      </c>
      <c r="N81" s="20" t="s">
        <v>51</v>
      </c>
      <c r="O81" s="20">
        <f>Inputs!$F$5+1</f>
        <v>2022</v>
      </c>
      <c r="P81" s="20">
        <f>O81+1</f>
        <v>2023</v>
      </c>
      <c r="Q81" s="20">
        <f t="shared" ref="Q81:W81" si="24">P81+1</f>
        <v>2024</v>
      </c>
      <c r="R81" s="20">
        <f t="shared" si="24"/>
        <v>2025</v>
      </c>
      <c r="S81" s="20">
        <f t="shared" si="24"/>
        <v>2026</v>
      </c>
      <c r="T81" s="20">
        <f t="shared" si="24"/>
        <v>2027</v>
      </c>
      <c r="U81" s="20">
        <f t="shared" si="24"/>
        <v>2028</v>
      </c>
      <c r="V81" s="20">
        <f t="shared" si="24"/>
        <v>2029</v>
      </c>
      <c r="W81" s="20">
        <f t="shared" si="24"/>
        <v>2030</v>
      </c>
    </row>
    <row r="82" spans="1:23" s="22" customFormat="1" x14ac:dyDescent="0.3">
      <c r="A82" s="20" t="s">
        <v>13</v>
      </c>
      <c r="B82" s="50" t="s">
        <v>112</v>
      </c>
      <c r="C82" s="51">
        <f>Enrolment!AC8</f>
        <v>0.13915585019463006</v>
      </c>
      <c r="D82" s="52">
        <f>Enrolment!AD8</f>
        <v>0.16322302831862714</v>
      </c>
      <c r="E82" s="52">
        <f>Enrolment!AE8</f>
        <v>0.1290296985918214</v>
      </c>
      <c r="F82" s="52">
        <f>Enrolment!AF8</f>
        <v>0.14790262318882624</v>
      </c>
      <c r="G82" s="52">
        <f>Enrolment!AG8</f>
        <v>0.16974169635652103</v>
      </c>
      <c r="H82" s="52">
        <f>Enrolment!AH8</f>
        <v>0.20922995541824332</v>
      </c>
      <c r="I82" s="52">
        <f>Enrolment!AI8</f>
        <v>0.25609618952302471</v>
      </c>
      <c r="J82" s="52">
        <f>Enrolment!AJ8</f>
        <v>0.31840638736082755</v>
      </c>
      <c r="K82" s="52">
        <f>Enrolment!AK8</f>
        <v>0.33412736420111228</v>
      </c>
      <c r="L82" s="52">
        <f>Enrolment!AL8</f>
        <v>0.34724039344118879</v>
      </c>
      <c r="N82" s="20" t="s">
        <v>13</v>
      </c>
      <c r="O82" s="53">
        <f>SUM(Enrolment!AD22:AD24)</f>
        <v>238809.39999999997</v>
      </c>
      <c r="P82" s="53">
        <f>SUM(Enrolment!AE22:AE24)</f>
        <v>182560.19260000001</v>
      </c>
      <c r="Q82" s="53">
        <f>SUM(Enrolment!AF22:AF24)</f>
        <v>196492.84422200001</v>
      </c>
      <c r="R82" s="53">
        <f>SUM(Enrolment!AG22:AG24)</f>
        <v>211466.94899078005</v>
      </c>
      <c r="S82" s="53">
        <f>SUM(Enrolment!AH22:AH24)</f>
        <v>227549.20125747743</v>
      </c>
      <c r="T82" s="53">
        <f>SUM(Enrolment!AI22:AI24)</f>
        <v>244819.66474072935</v>
      </c>
      <c r="U82" s="53">
        <f>SUM(Enrolment!AJ22:AJ24)</f>
        <v>263364.80583503394</v>
      </c>
      <c r="V82" s="53">
        <f>SUM(Enrolment!AK22:AK24)</f>
        <v>283277.36718644487</v>
      </c>
      <c r="W82" s="53">
        <f>SUM(Enrolment!AL22:AL24)</f>
        <v>301754.62667280599</v>
      </c>
    </row>
    <row r="83" spans="1:23" s="22" customFormat="1" x14ac:dyDescent="0.3">
      <c r="A83" s="20" t="s">
        <v>14</v>
      </c>
      <c r="B83" s="50" t="s">
        <v>112</v>
      </c>
      <c r="C83" s="51">
        <f>Enrolment!AC9</f>
        <v>0.2450340386981186</v>
      </c>
      <c r="D83" s="52">
        <f>Enrolment!AD9</f>
        <v>0.21236724258349338</v>
      </c>
      <c r="E83" s="52">
        <f>Enrolment!AE9</f>
        <v>0.16192583074536843</v>
      </c>
      <c r="F83" s="52">
        <f>Enrolment!AF9</f>
        <v>0.1931963841295532</v>
      </c>
      <c r="G83" s="52">
        <f>Enrolment!AG9</f>
        <v>0.24240542850112576</v>
      </c>
      <c r="H83" s="52">
        <f>Enrolment!AH9</f>
        <v>0.26740278364364661</v>
      </c>
      <c r="I83" s="52">
        <f>Enrolment!AI9</f>
        <v>0.2814153296887682</v>
      </c>
      <c r="J83" s="52">
        <f>Enrolment!AJ9</f>
        <v>0.29613108924140097</v>
      </c>
      <c r="K83" s="52">
        <f>Enrolment!AK9</f>
        <v>0.31158520308780729</v>
      </c>
      <c r="L83" s="52">
        <f>Enrolment!AL9</f>
        <v>0.32781367803881306</v>
      </c>
      <c r="N83" s="20" t="s">
        <v>14</v>
      </c>
      <c r="O83" s="53">
        <f>SUM(Enrolment!AD27:AD29)</f>
        <v>209474.56</v>
      </c>
      <c r="P83" s="53">
        <f>SUM(Enrolment!AE27:AE29)</f>
        <v>155447.48180000001</v>
      </c>
      <c r="Q83" s="53">
        <f>SUM(Enrolment!AF27:AF29)</f>
        <v>165807.24087600003</v>
      </c>
      <c r="R83" s="53">
        <f>SUM(Enrolment!AG27:AG29)</f>
        <v>176841.31673444004</v>
      </c>
      <c r="S83" s="53">
        <f>SUM(Enrolment!AH27:AH29)</f>
        <v>188580.67793317768</v>
      </c>
      <c r="T83" s="53">
        <f>SUM(Enrolment!AI27:AI29)</f>
        <v>201935.26879905781</v>
      </c>
      <c r="U83" s="53">
        <f>SUM(Enrolment!AJ27:AJ29)</f>
        <v>216213.52012828412</v>
      </c>
      <c r="V83" s="53">
        <f>SUM(Enrolment!AK27:AK29)</f>
        <v>231478.19464934099</v>
      </c>
      <c r="W83" s="53">
        <f>SUM(Enrolment!AL27:AL29)</f>
        <v>247796.26144046287</v>
      </c>
    </row>
    <row r="84" spans="1:23" s="22" customFormat="1" x14ac:dyDescent="0.3">
      <c r="A84" s="20" t="s">
        <v>18</v>
      </c>
      <c r="B84" s="50" t="s">
        <v>112</v>
      </c>
      <c r="C84" s="51">
        <f>Enrolment!AC10</f>
        <v>0.18107901412304925</v>
      </c>
      <c r="D84" s="52">
        <f>Enrolment!AD10</f>
        <v>0.18301298580885039</v>
      </c>
      <c r="E84" s="52">
        <f>Enrolment!AE10</f>
        <v>0.1423273247778605</v>
      </c>
      <c r="F84" s="52">
        <f>Enrolment!AF10</f>
        <v>0.16567893870300715</v>
      </c>
      <c r="G84" s="52">
        <f>Enrolment!AG10</f>
        <v>0.1965776191992519</v>
      </c>
      <c r="H84" s="52">
        <f>Enrolment!AH10</f>
        <v>0.23211347961634393</v>
      </c>
      <c r="I84" s="52">
        <f>Enrolment!AI10</f>
        <v>0.26695238948284394</v>
      </c>
      <c r="J84" s="52">
        <f>Enrolment!AJ10</f>
        <v>0.30796253539083041</v>
      </c>
      <c r="K84" s="52">
        <f>Enrolment!AK10</f>
        <v>0.32359960962650464</v>
      </c>
      <c r="L84" s="52">
        <f>Enrolment!AL10</f>
        <v>0.33820313358213622</v>
      </c>
      <c r="N84" s="20" t="s">
        <v>18</v>
      </c>
      <c r="O84" s="53">
        <f>O82+O83</f>
        <v>448283.95999999996</v>
      </c>
      <c r="P84" s="53">
        <f t="shared" ref="P84" si="25">P82+P83</f>
        <v>338007.67440000002</v>
      </c>
      <c r="Q84" s="53">
        <f t="shared" ref="Q84" si="26">Q82+Q83</f>
        <v>362300.08509800001</v>
      </c>
      <c r="R84" s="53">
        <f t="shared" ref="R84" si="27">R82+R83</f>
        <v>388308.26572522009</v>
      </c>
      <c r="S84" s="53">
        <f t="shared" ref="S84" si="28">S82+S83</f>
        <v>416129.87919065508</v>
      </c>
      <c r="T84" s="53">
        <f t="shared" ref="T84" si="29">T82+T83</f>
        <v>446754.93353978719</v>
      </c>
      <c r="U84" s="53">
        <f t="shared" ref="U84" si="30">U82+U83</f>
        <v>479578.32596331806</v>
      </c>
      <c r="V84" s="53">
        <f t="shared" ref="V84" si="31">V82+V83</f>
        <v>514755.56183578586</v>
      </c>
      <c r="W84" s="53">
        <f t="shared" ref="W84" si="32">W82+W83</f>
        <v>549550.88811326888</v>
      </c>
    </row>
    <row r="86" spans="1:23" x14ac:dyDescent="0.3">
      <c r="A86" s="3" t="s">
        <v>106</v>
      </c>
      <c r="B86" s="3"/>
      <c r="N86" s="3" t="s">
        <v>108</v>
      </c>
      <c r="O86" s="3"/>
    </row>
    <row r="88" spans="1:23" s="22" customFormat="1" x14ac:dyDescent="0.3">
      <c r="A88" s="20" t="s">
        <v>51</v>
      </c>
      <c r="B88" s="20" t="s">
        <v>111</v>
      </c>
      <c r="C88" s="10">
        <f>Inputs!$F$5</f>
        <v>2021</v>
      </c>
      <c r="D88" s="10">
        <f>C88+1</f>
        <v>2022</v>
      </c>
      <c r="E88" s="10">
        <f t="shared" ref="E88:L88" si="33">D88+1</f>
        <v>2023</v>
      </c>
      <c r="F88" s="10">
        <f t="shared" si="33"/>
        <v>2024</v>
      </c>
      <c r="G88" s="10">
        <f t="shared" si="33"/>
        <v>2025</v>
      </c>
      <c r="H88" s="10">
        <f t="shared" si="33"/>
        <v>2026</v>
      </c>
      <c r="I88" s="10">
        <f t="shared" si="33"/>
        <v>2027</v>
      </c>
      <c r="J88" s="10">
        <f t="shared" si="33"/>
        <v>2028</v>
      </c>
      <c r="K88" s="10">
        <f t="shared" si="33"/>
        <v>2029</v>
      </c>
      <c r="L88" s="10">
        <f t="shared" si="33"/>
        <v>2030</v>
      </c>
      <c r="N88" s="20" t="s">
        <v>51</v>
      </c>
      <c r="O88" s="20">
        <f>Inputs!$F$5+1</f>
        <v>2022</v>
      </c>
      <c r="P88" s="20">
        <f>O88+1</f>
        <v>2023</v>
      </c>
      <c r="Q88" s="20">
        <f t="shared" ref="Q88:W88" si="34">P88+1</f>
        <v>2024</v>
      </c>
      <c r="R88" s="20">
        <f t="shared" si="34"/>
        <v>2025</v>
      </c>
      <c r="S88" s="20">
        <f t="shared" si="34"/>
        <v>2026</v>
      </c>
      <c r="T88" s="20">
        <f t="shared" si="34"/>
        <v>2027</v>
      </c>
      <c r="U88" s="20">
        <f t="shared" si="34"/>
        <v>2028</v>
      </c>
      <c r="V88" s="20">
        <f t="shared" si="34"/>
        <v>2029</v>
      </c>
      <c r="W88" s="20">
        <f t="shared" si="34"/>
        <v>2030</v>
      </c>
    </row>
    <row r="89" spans="1:23" s="22" customFormat="1" x14ac:dyDescent="0.3">
      <c r="A89" s="20" t="s">
        <v>13</v>
      </c>
      <c r="B89" s="50" t="s">
        <v>112</v>
      </c>
      <c r="C89" s="51">
        <f>Enrolment!AP8</f>
        <v>6.837825988760611E-2</v>
      </c>
      <c r="D89" s="52">
        <f>Enrolment!AQ8</f>
        <v>5.5415932777043736E-2</v>
      </c>
      <c r="E89" s="52">
        <f>Enrolment!AR8</f>
        <v>3.5439994677058981E-2</v>
      </c>
      <c r="F89" s="52">
        <f>Enrolment!AS8</f>
        <v>3.9049897476908325E-2</v>
      </c>
      <c r="G89" s="52">
        <f>Enrolment!AT8</f>
        <v>4.3133362974926183E-2</v>
      </c>
      <c r="H89" s="52">
        <f>Enrolment!AU8</f>
        <v>5.1175940108903202E-2</v>
      </c>
      <c r="I89" s="52">
        <f>Enrolment!AV8</f>
        <v>6.0292536950027266E-2</v>
      </c>
      <c r="J89" s="52">
        <f>Enrolment!AW8</f>
        <v>7.2153926757293402E-2</v>
      </c>
      <c r="K89" s="52">
        <f>Enrolment!AX8</f>
        <v>7.2879817402694586E-2</v>
      </c>
      <c r="L89" s="52">
        <f>Enrolment!AY8</f>
        <v>7.2888918419472912E-2</v>
      </c>
      <c r="N89" s="20" t="s">
        <v>13</v>
      </c>
      <c r="O89" s="53">
        <f>SUM(Enrolment!AQ22:AQ24)</f>
        <v>81078.3</v>
      </c>
      <c r="P89" s="53">
        <f>SUM(Enrolment!AR22:AR24)</f>
        <v>50142.969599999997</v>
      </c>
      <c r="Q89" s="53">
        <f>SUM(Enrolment!AS22:AS24)</f>
        <v>51878.900160000005</v>
      </c>
      <c r="R89" s="53">
        <f>SUM(Enrolment!AT22:AT24)</f>
        <v>53736.240792960001</v>
      </c>
      <c r="S89" s="53">
        <f>SUM(Enrolment!AU22:AU24)</f>
        <v>55656.678185030403</v>
      </c>
      <c r="T89" s="53">
        <f>SUM(Enrolment!AV22:AV24)</f>
        <v>57637.713040422343</v>
      </c>
      <c r="U89" s="53">
        <f>SUM(Enrolment!AW22:AW24)</f>
        <v>59680.978978400002</v>
      </c>
      <c r="V89" s="53">
        <f>SUM(Enrolment!AX22:AX24)</f>
        <v>61788.422640049786</v>
      </c>
      <c r="W89" s="53">
        <f>SUM(Enrolment!AY22:AY24)</f>
        <v>63341.042061046464</v>
      </c>
    </row>
    <row r="90" spans="1:23" s="22" customFormat="1" x14ac:dyDescent="0.3">
      <c r="A90" s="20" t="s">
        <v>14</v>
      </c>
      <c r="B90" s="50" t="s">
        <v>112</v>
      </c>
      <c r="C90" s="51">
        <f>Enrolment!AP9</f>
        <v>9.4521988857114478E-2</v>
      </c>
      <c r="D90" s="52">
        <f>Enrolment!AQ9</f>
        <v>0.10210394142726739</v>
      </c>
      <c r="E90" s="52">
        <f>Enrolment!AR9</f>
        <v>6.6134989036075065E-2</v>
      </c>
      <c r="F90" s="52">
        <f>Enrolment!AS9</f>
        <v>7.6650257007164185E-2</v>
      </c>
      <c r="G90" s="52">
        <f>Enrolment!AT9</f>
        <v>9.3448456203691563E-2</v>
      </c>
      <c r="H90" s="52">
        <f>Enrolment!AU9</f>
        <v>0.10016410645511351</v>
      </c>
      <c r="I90" s="52">
        <f>Enrolment!AV9</f>
        <v>0.10244564270405222</v>
      </c>
      <c r="J90" s="52">
        <f>Enrolment!AW9</f>
        <v>0.10476782138766072</v>
      </c>
      <c r="K90" s="52">
        <f>Enrolment!AX9</f>
        <v>0.10713159480576619</v>
      </c>
      <c r="L90" s="52">
        <f>Enrolment!AY9</f>
        <v>0.10953763447526466</v>
      </c>
      <c r="N90" s="20" t="s">
        <v>14</v>
      </c>
      <c r="O90" s="53">
        <f>SUM(Enrolment!AQ27:AQ29)</f>
        <v>100713.17</v>
      </c>
      <c r="P90" s="53">
        <f>SUM(Enrolment!AR27:AR29)</f>
        <v>63489.052100000001</v>
      </c>
      <c r="Q90" s="53">
        <f>SUM(Enrolment!AS27:AS29)</f>
        <v>65783.672319000005</v>
      </c>
      <c r="R90" s="53">
        <f>SUM(Enrolment!AT27:AT29)</f>
        <v>68173.176417890005</v>
      </c>
      <c r="S90" s="53">
        <f>SUM(Enrolment!AU27:AU29)</f>
        <v>70638.812515312718</v>
      </c>
      <c r="T90" s="53">
        <f>SUM(Enrolment!AV27:AV29)</f>
        <v>73511.945563215326</v>
      </c>
      <c r="U90" s="53">
        <f>SUM(Enrolment!AW27:AW29)</f>
        <v>76493.891662728318</v>
      </c>
      <c r="V90" s="53">
        <f>SUM(Enrolment!AX27:AX29)</f>
        <v>79588.593777205184</v>
      </c>
      <c r="W90" s="53">
        <f>SUM(Enrolment!AY27:AY29)</f>
        <v>82800.133516054237</v>
      </c>
    </row>
    <row r="91" spans="1:23" s="22" customFormat="1" x14ac:dyDescent="0.3">
      <c r="A91" s="20" t="s">
        <v>18</v>
      </c>
      <c r="B91" s="50" t="s">
        <v>112</v>
      </c>
      <c r="C91" s="51">
        <f>Enrolment!AP10</f>
        <v>7.8730041031394277E-2</v>
      </c>
      <c r="D91" s="52">
        <f>Enrolment!AQ10</f>
        <v>7.4216797137421672E-2</v>
      </c>
      <c r="E91" s="52">
        <f>Enrolment!AR10</f>
        <v>4.7847853414480911E-2</v>
      </c>
      <c r="F91" s="52">
        <f>Enrolment!AS10</f>
        <v>5.380680528439101E-2</v>
      </c>
      <c r="G91" s="52">
        <f>Enrolment!AT10</f>
        <v>6.1715562372899366E-2</v>
      </c>
      <c r="H91" s="52">
        <f>Enrolment!AU10</f>
        <v>7.0446481428648539E-2</v>
      </c>
      <c r="I91" s="52">
        <f>Enrolment!AV10</f>
        <v>7.8366710954255875E-2</v>
      </c>
      <c r="J91" s="52">
        <f>Enrolment!AW10</f>
        <v>8.7445066110781441E-2</v>
      </c>
      <c r="K91" s="52">
        <f>Enrolment!AX10</f>
        <v>8.8876256450004881E-2</v>
      </c>
      <c r="L91" s="52">
        <f>Enrolment!AY10</f>
        <v>8.9937810300409274E-2</v>
      </c>
      <c r="N91" s="20" t="s">
        <v>18</v>
      </c>
      <c r="O91" s="53">
        <f>O89+O90</f>
        <v>181791.47</v>
      </c>
      <c r="P91" s="53">
        <f t="shared" ref="P91" si="35">P89+P90</f>
        <v>113632.0217</v>
      </c>
      <c r="Q91" s="53">
        <f t="shared" ref="Q91" si="36">Q89+Q90</f>
        <v>117662.57247900001</v>
      </c>
      <c r="R91" s="53">
        <f t="shared" ref="R91" si="37">R89+R90</f>
        <v>121909.41721085001</v>
      </c>
      <c r="S91" s="53">
        <f t="shared" ref="S91" si="38">S89+S90</f>
        <v>126295.49070034313</v>
      </c>
      <c r="T91" s="53">
        <f t="shared" ref="T91" si="39">T89+T90</f>
        <v>131149.65860363765</v>
      </c>
      <c r="U91" s="53">
        <f t="shared" ref="U91" si="40">U89+U90</f>
        <v>136174.87064112833</v>
      </c>
      <c r="V91" s="53">
        <f t="shared" ref="V91" si="41">V89+V90</f>
        <v>141377.01641725498</v>
      </c>
      <c r="W91" s="53">
        <f t="shared" ref="W91" si="42">W89+W90</f>
        <v>146141.17557710072</v>
      </c>
    </row>
    <row r="99" spans="23:23" x14ac:dyDescent="0.3">
      <c r="W99" s="37" t="s">
        <v>118</v>
      </c>
    </row>
    <row r="100" spans="23:23" x14ac:dyDescent="0.3">
      <c r="W100" s="38"/>
    </row>
    <row r="101" spans="23:23" x14ac:dyDescent="0.3">
      <c r="W101" s="41" t="s">
        <v>114</v>
      </c>
    </row>
    <row r="102" spans="23:23" x14ac:dyDescent="0.3">
      <c r="W102" s="39" t="s">
        <v>116</v>
      </c>
    </row>
    <row r="103" spans="23:23" x14ac:dyDescent="0.3">
      <c r="W103" s="39" t="s">
        <v>117</v>
      </c>
    </row>
    <row r="104" spans="23:23" x14ac:dyDescent="0.3">
      <c r="W104" s="40" t="s">
        <v>115</v>
      </c>
    </row>
  </sheetData>
  <sheetProtection algorithmName="SHA-512" hashValue="oerYPNbwbOygg2CjkjWUpQyiWKKIKyxfJ/MtTxK9DGSMcamHvkRvRj5KA7rJfBHP1/UGALFJXl/uVhOJ8e4cmQ==" saltValue="aar8OdL5bhQWNRngSThoQA==" spinCount="100000" sheet="1" objects="1" scenarios="1"/>
  <pageMargins left="0.7" right="0.7" top="0.75" bottom="0.75" header="0.3" footer="0.3"/>
  <pageSetup scale="4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0E9A-8D31-41C0-BB62-222D05C14454}">
  <dimension ref="A1:Q42"/>
  <sheetViews>
    <sheetView workbookViewId="0">
      <selection activeCell="F1" sqref="F1"/>
    </sheetView>
  </sheetViews>
  <sheetFormatPr defaultRowHeight="14.4" x14ac:dyDescent="0.3"/>
  <cols>
    <col min="1" max="1" width="33.88671875" customWidth="1"/>
    <col min="2" max="3" width="13.88671875" bestFit="1" customWidth="1"/>
    <col min="4" max="4" width="11.44140625" customWidth="1"/>
    <col min="5" max="5" width="10.109375" bestFit="1" customWidth="1"/>
    <col min="15" max="15" width="7.5546875" bestFit="1" customWidth="1"/>
    <col min="16" max="16" width="23" bestFit="1" customWidth="1"/>
    <col min="17" max="17" width="5.33203125" style="1" customWidth="1"/>
    <col min="18" max="18" width="13.109375" bestFit="1" customWidth="1"/>
  </cols>
  <sheetData>
    <row r="1" spans="1:14" x14ac:dyDescent="0.3">
      <c r="A1" s="48" t="s">
        <v>201</v>
      </c>
      <c r="B1" s="2"/>
    </row>
    <row r="2" spans="1:14" x14ac:dyDescent="0.3">
      <c r="A2" s="2"/>
      <c r="B2" s="2"/>
    </row>
    <row r="3" spans="1:14" x14ac:dyDescent="0.3">
      <c r="A3" s="62" t="s">
        <v>178</v>
      </c>
    </row>
    <row r="4" spans="1:14" x14ac:dyDescent="0.3">
      <c r="A4" s="62"/>
    </row>
    <row r="5" spans="1:14" x14ac:dyDescent="0.3">
      <c r="A5" s="3" t="s">
        <v>139</v>
      </c>
      <c r="B5" s="3"/>
    </row>
    <row r="6" spans="1:14" x14ac:dyDescent="0.3">
      <c r="C6" s="1" t="s">
        <v>91</v>
      </c>
      <c r="D6" s="1" t="s">
        <v>162</v>
      </c>
      <c r="E6" s="1" t="s">
        <v>162</v>
      </c>
      <c r="F6" s="1" t="s">
        <v>162</v>
      </c>
      <c r="G6" s="1" t="s">
        <v>162</v>
      </c>
      <c r="H6" s="1" t="s">
        <v>162</v>
      </c>
      <c r="I6" s="1" t="s">
        <v>162</v>
      </c>
      <c r="J6" s="1" t="s">
        <v>162</v>
      </c>
      <c r="K6" s="1" t="s">
        <v>162</v>
      </c>
      <c r="L6" s="1" t="s">
        <v>162</v>
      </c>
    </row>
    <row r="7" spans="1:14" x14ac:dyDescent="0.3">
      <c r="A7" s="10" t="s">
        <v>131</v>
      </c>
      <c r="B7" s="10" t="s">
        <v>55</v>
      </c>
      <c r="C7" s="10" t="s">
        <v>135</v>
      </c>
      <c r="D7" s="20">
        <f>Inputs!$F$5+1</f>
        <v>2022</v>
      </c>
      <c r="E7" s="20">
        <f>D7+1</f>
        <v>2023</v>
      </c>
      <c r="F7" s="20">
        <f t="shared" ref="F7:L7" si="0">E7+1</f>
        <v>2024</v>
      </c>
      <c r="G7" s="20">
        <f t="shared" si="0"/>
        <v>2025</v>
      </c>
      <c r="H7" s="20">
        <f t="shared" si="0"/>
        <v>2026</v>
      </c>
      <c r="I7" s="20">
        <f t="shared" si="0"/>
        <v>2027</v>
      </c>
      <c r="J7" s="20">
        <f t="shared" si="0"/>
        <v>2028</v>
      </c>
      <c r="K7" s="20">
        <f t="shared" si="0"/>
        <v>2029</v>
      </c>
      <c r="L7" s="20">
        <f t="shared" si="0"/>
        <v>2030</v>
      </c>
    </row>
    <row r="8" spans="1:14" x14ac:dyDescent="0.3">
      <c r="A8" s="69" t="str">
        <f>"Provision of "&amp;Semantics!B12&amp;" Facilities (toilets)"</f>
        <v>Provision of WASH Facilities (toilets)</v>
      </c>
      <c r="B8" s="71" t="s">
        <v>136</v>
      </c>
      <c r="C8" s="80">
        <f>Inputs!C102</f>
        <v>900</v>
      </c>
      <c r="D8" s="65">
        <v>500</v>
      </c>
      <c r="E8" s="65">
        <v>500</v>
      </c>
      <c r="F8" s="65">
        <v>500</v>
      </c>
      <c r="G8" s="65">
        <v>500</v>
      </c>
      <c r="H8" s="65">
        <v>500</v>
      </c>
      <c r="I8" s="65">
        <v>500</v>
      </c>
      <c r="J8" s="65">
        <v>500</v>
      </c>
      <c r="K8" s="65">
        <v>500</v>
      </c>
      <c r="L8" s="65">
        <v>500</v>
      </c>
      <c r="N8" s="61"/>
    </row>
    <row r="9" spans="1:14" x14ac:dyDescent="0.3">
      <c r="A9" s="69" t="str">
        <f>"Provision of "&amp;Semantics!B12&amp;" Facilities (taps)"</f>
        <v>Provision of WASH Facilities (taps)</v>
      </c>
      <c r="B9" s="71" t="s">
        <v>136</v>
      </c>
      <c r="C9" s="80">
        <f>Inputs!C103</f>
        <v>15</v>
      </c>
      <c r="D9" s="65">
        <v>500</v>
      </c>
      <c r="E9" s="65">
        <v>500</v>
      </c>
      <c r="F9" s="65">
        <v>500</v>
      </c>
      <c r="G9" s="65">
        <v>500</v>
      </c>
      <c r="H9" s="65">
        <v>500</v>
      </c>
      <c r="I9" s="65">
        <v>500</v>
      </c>
      <c r="J9" s="65">
        <v>500</v>
      </c>
      <c r="K9" s="65">
        <v>500</v>
      </c>
      <c r="L9" s="65">
        <v>500</v>
      </c>
      <c r="N9" s="61"/>
    </row>
    <row r="10" spans="1:14" x14ac:dyDescent="0.3">
      <c r="A10" s="69" t="s">
        <v>132</v>
      </c>
      <c r="B10" s="71" t="s">
        <v>137</v>
      </c>
      <c r="C10" s="80">
        <f>Inputs!C104</f>
        <v>200</v>
      </c>
      <c r="D10" s="65">
        <v>750</v>
      </c>
      <c r="E10" s="65">
        <v>750</v>
      </c>
      <c r="F10" s="65">
        <v>750</v>
      </c>
      <c r="G10" s="65">
        <v>750</v>
      </c>
      <c r="H10" s="65">
        <v>750</v>
      </c>
      <c r="I10" s="65">
        <v>750</v>
      </c>
      <c r="J10" s="65">
        <v>750</v>
      </c>
      <c r="K10" s="65">
        <v>750</v>
      </c>
      <c r="L10" s="65">
        <v>750</v>
      </c>
    </row>
    <row r="11" spans="1:14" x14ac:dyDescent="0.3">
      <c r="A11" s="69" t="s">
        <v>133</v>
      </c>
      <c r="B11" s="71" t="s">
        <v>138</v>
      </c>
      <c r="C11" s="65">
        <v>350</v>
      </c>
      <c r="D11" s="65">
        <v>55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</row>
    <row r="12" spans="1:14" x14ac:dyDescent="0.3">
      <c r="A12" s="69" t="str">
        <f>"Training of ECE "&amp;Semantics!B6&amp;"s (pre-service)"</f>
        <v>Training of ECE Teachers (pre-service)</v>
      </c>
      <c r="B12" s="71" t="s">
        <v>68</v>
      </c>
      <c r="C12" s="65">
        <v>50</v>
      </c>
      <c r="D12" s="65">
        <v>1000</v>
      </c>
      <c r="E12" s="65">
        <v>1000</v>
      </c>
      <c r="F12" s="65">
        <v>1000</v>
      </c>
      <c r="G12" s="65">
        <v>1000</v>
      </c>
      <c r="H12" s="65">
        <v>1000</v>
      </c>
      <c r="I12" s="65">
        <v>1000</v>
      </c>
      <c r="J12" s="65">
        <v>1000</v>
      </c>
      <c r="K12" s="65">
        <v>1000</v>
      </c>
      <c r="L12" s="65">
        <v>1000</v>
      </c>
    </row>
    <row r="13" spans="1:14" x14ac:dyDescent="0.3">
      <c r="A13" s="69" t="str">
        <f>"Training of ECE "&amp;Semantics!B6&amp;"s (in-service)"</f>
        <v>Training of ECE Teachers (in-service)</v>
      </c>
      <c r="B13" s="71" t="s">
        <v>68</v>
      </c>
      <c r="C13" s="65">
        <v>50</v>
      </c>
      <c r="D13" s="65">
        <v>2500</v>
      </c>
      <c r="E13" s="65">
        <v>2500</v>
      </c>
      <c r="F13" s="65">
        <v>2500</v>
      </c>
      <c r="G13" s="65">
        <v>2500</v>
      </c>
      <c r="H13" s="65">
        <v>2500</v>
      </c>
      <c r="I13" s="65">
        <v>2500</v>
      </c>
      <c r="J13" s="65">
        <v>2500</v>
      </c>
      <c r="K13" s="65">
        <v>2500</v>
      </c>
      <c r="L13" s="65">
        <v>2500</v>
      </c>
      <c r="M13" t="s">
        <v>231</v>
      </c>
    </row>
    <row r="14" spans="1:14" x14ac:dyDescent="0.3">
      <c r="A14" s="69" t="str">
        <f>"Training of ECE "&amp;Semantics!B7&amp;"s"</f>
        <v>Training of ECE Caregivers</v>
      </c>
      <c r="B14" s="71" t="s">
        <v>69</v>
      </c>
      <c r="C14" s="65">
        <v>50</v>
      </c>
      <c r="D14" s="65">
        <v>500</v>
      </c>
      <c r="E14" s="65">
        <v>500</v>
      </c>
      <c r="F14" s="65">
        <v>500</v>
      </c>
      <c r="G14" s="65">
        <v>500</v>
      </c>
      <c r="H14" s="65">
        <v>500</v>
      </c>
      <c r="I14" s="65">
        <v>500</v>
      </c>
      <c r="J14" s="65">
        <v>500</v>
      </c>
      <c r="K14" s="65">
        <v>500</v>
      </c>
      <c r="L14" s="65">
        <v>500</v>
      </c>
    </row>
    <row r="15" spans="1:14" x14ac:dyDescent="0.3">
      <c r="A15" s="69" t="s">
        <v>159</v>
      </c>
      <c r="B15" s="71" t="s">
        <v>160</v>
      </c>
      <c r="C15" s="65">
        <v>200</v>
      </c>
      <c r="D15" s="65">
        <v>18000</v>
      </c>
      <c r="E15" s="65">
        <v>18000</v>
      </c>
      <c r="F15" s="65">
        <v>18000</v>
      </c>
      <c r="G15" s="65">
        <v>18000</v>
      </c>
      <c r="H15" s="65">
        <v>18000</v>
      </c>
      <c r="I15" s="65">
        <v>18000</v>
      </c>
      <c r="J15" s="65">
        <v>18000</v>
      </c>
      <c r="K15" s="65">
        <v>18000</v>
      </c>
      <c r="L15" s="65">
        <v>18000</v>
      </c>
    </row>
    <row r="16" spans="1:14" x14ac:dyDescent="0.3">
      <c r="A16" s="69" t="s">
        <v>199</v>
      </c>
      <c r="B16" s="71" t="s">
        <v>200</v>
      </c>
      <c r="C16" s="65">
        <v>2220</v>
      </c>
      <c r="D16" s="65">
        <v>100</v>
      </c>
      <c r="E16" s="65">
        <v>100</v>
      </c>
      <c r="F16" s="65">
        <v>100</v>
      </c>
      <c r="G16" s="65">
        <v>100</v>
      </c>
      <c r="H16" s="65">
        <v>100</v>
      </c>
      <c r="I16" s="65">
        <v>100</v>
      </c>
      <c r="J16" s="65">
        <v>100</v>
      </c>
      <c r="K16" s="65">
        <v>100</v>
      </c>
      <c r="L16" s="65">
        <v>100</v>
      </c>
    </row>
    <row r="17" spans="1:12" x14ac:dyDescent="0.3">
      <c r="A17" s="69" t="s">
        <v>232</v>
      </c>
      <c r="B17" s="71" t="s">
        <v>233</v>
      </c>
      <c r="C17" s="65">
        <v>50</v>
      </c>
      <c r="D17" s="65">
        <v>5000</v>
      </c>
      <c r="E17" s="65">
        <v>5000</v>
      </c>
      <c r="F17" s="65">
        <v>5000</v>
      </c>
      <c r="G17" s="65">
        <v>5000</v>
      </c>
      <c r="H17" s="65">
        <v>5000</v>
      </c>
      <c r="I17" s="65">
        <v>5000</v>
      </c>
      <c r="J17" s="65">
        <v>5000</v>
      </c>
      <c r="K17" s="65">
        <v>5000</v>
      </c>
      <c r="L17" s="65">
        <v>5000</v>
      </c>
    </row>
    <row r="18" spans="1:12" x14ac:dyDescent="0.3">
      <c r="A18" s="70" t="s">
        <v>134</v>
      </c>
      <c r="B18" s="71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x14ac:dyDescent="0.3">
      <c r="A19" s="70" t="s">
        <v>134</v>
      </c>
      <c r="B19" s="71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 x14ac:dyDescent="0.3">
      <c r="A20" s="70" t="s">
        <v>134</v>
      </c>
      <c r="B20" s="71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x14ac:dyDescent="0.3">
      <c r="A21" s="70" t="s">
        <v>134</v>
      </c>
      <c r="B21" s="71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3" spans="1:12" x14ac:dyDescent="0.3">
      <c r="A23" s="13" t="s">
        <v>20</v>
      </c>
    </row>
    <row r="24" spans="1:12" x14ac:dyDescent="0.3">
      <c r="A24" t="s">
        <v>161</v>
      </c>
    </row>
    <row r="26" spans="1:12" x14ac:dyDescent="0.3">
      <c r="A26" s="3" t="s">
        <v>141</v>
      </c>
      <c r="B26" s="3"/>
    </row>
    <row r="27" spans="1:12" x14ac:dyDescent="0.3">
      <c r="D27" s="1"/>
      <c r="E27" s="1"/>
      <c r="F27" s="1"/>
      <c r="G27" s="1"/>
      <c r="H27" s="1"/>
      <c r="I27" s="1"/>
      <c r="J27" s="1"/>
      <c r="K27" s="11" t="s">
        <v>59</v>
      </c>
      <c r="L27" s="23" t="str">
        <f>Inputs!C89</f>
        <v>USD</v>
      </c>
    </row>
    <row r="28" spans="1:12" x14ac:dyDescent="0.3">
      <c r="A28" s="10" t="s">
        <v>131</v>
      </c>
      <c r="B28" s="21" t="s">
        <v>197</v>
      </c>
      <c r="C28" s="21" t="s">
        <v>198</v>
      </c>
      <c r="D28" s="20">
        <f>Inputs!$F$5+1</f>
        <v>2022</v>
      </c>
      <c r="E28" s="20">
        <f>D28+1</f>
        <v>2023</v>
      </c>
      <c r="F28" s="20">
        <f t="shared" ref="F28:L28" si="1">E28+1</f>
        <v>2024</v>
      </c>
      <c r="G28" s="20">
        <f t="shared" si="1"/>
        <v>2025</v>
      </c>
      <c r="H28" s="20">
        <f t="shared" si="1"/>
        <v>2026</v>
      </c>
      <c r="I28" s="20">
        <f t="shared" si="1"/>
        <v>2027</v>
      </c>
      <c r="J28" s="20">
        <f t="shared" si="1"/>
        <v>2028</v>
      </c>
      <c r="K28" s="20">
        <f t="shared" si="1"/>
        <v>2029</v>
      </c>
      <c r="L28" s="20">
        <f t="shared" si="1"/>
        <v>2030</v>
      </c>
    </row>
    <row r="29" spans="1:12" x14ac:dyDescent="0.3">
      <c r="A29" s="10" t="str">
        <f t="shared" ref="A29:A39" si="2">A8</f>
        <v>Provision of WASH Facilities (toilets)</v>
      </c>
      <c r="B29" s="72">
        <v>0.05</v>
      </c>
      <c r="C29" s="72">
        <v>0</v>
      </c>
      <c r="D29" s="7">
        <f>C8*(1+$C$29)</f>
        <v>900</v>
      </c>
      <c r="E29" s="7">
        <f>D29*(1+$C$29)</f>
        <v>900</v>
      </c>
      <c r="F29" s="7">
        <f t="shared" ref="F29:L29" si="3">E29*(1+$B$29)</f>
        <v>945</v>
      </c>
      <c r="G29" s="7">
        <f t="shared" si="3"/>
        <v>992.25</v>
      </c>
      <c r="H29" s="7">
        <f t="shared" si="3"/>
        <v>1041.8625</v>
      </c>
      <c r="I29" s="7">
        <f t="shared" si="3"/>
        <v>1093.9556250000001</v>
      </c>
      <c r="J29" s="7">
        <f t="shared" si="3"/>
        <v>1148.6534062500002</v>
      </c>
      <c r="K29" s="7">
        <f t="shared" si="3"/>
        <v>1206.0860765625002</v>
      </c>
      <c r="L29" s="7">
        <f t="shared" si="3"/>
        <v>1266.3903803906253</v>
      </c>
    </row>
    <row r="30" spans="1:12" x14ac:dyDescent="0.3">
      <c r="A30" s="10" t="str">
        <f t="shared" si="2"/>
        <v>Provision of WASH Facilities (taps)</v>
      </c>
      <c r="B30" s="72">
        <v>0.05</v>
      </c>
      <c r="C30" s="72">
        <v>0</v>
      </c>
      <c r="D30" s="7">
        <f>C9*(1+$C$30)</f>
        <v>15</v>
      </c>
      <c r="E30" s="7">
        <f>D30*(1+$C$30)</f>
        <v>15</v>
      </c>
      <c r="F30" s="7">
        <f>E30*(1+$B$30)</f>
        <v>15.75</v>
      </c>
      <c r="G30" s="7">
        <f>F30*(1+$B$30)</f>
        <v>16.537500000000001</v>
      </c>
      <c r="H30" s="7">
        <f t="shared" ref="H30:L30" si="4">G30*(1+$B$30)</f>
        <v>17.364375000000003</v>
      </c>
      <c r="I30" s="7">
        <f t="shared" si="4"/>
        <v>18.232593750000003</v>
      </c>
      <c r="J30" s="7">
        <f t="shared" si="4"/>
        <v>19.144223437500003</v>
      </c>
      <c r="K30" s="7">
        <f t="shared" si="4"/>
        <v>20.101434609375005</v>
      </c>
      <c r="L30" s="7">
        <f t="shared" si="4"/>
        <v>21.106506339843754</v>
      </c>
    </row>
    <row r="31" spans="1:12" x14ac:dyDescent="0.3">
      <c r="A31" s="10" t="str">
        <f t="shared" si="2"/>
        <v>Provision of ECE Furniture</v>
      </c>
      <c r="B31" s="72">
        <v>0.05</v>
      </c>
      <c r="C31" s="72">
        <v>0</v>
      </c>
      <c r="D31" s="7">
        <f>C10*(1+$C$31)</f>
        <v>200</v>
      </c>
      <c r="E31" s="7">
        <f>D31*(1+$C$31)</f>
        <v>200</v>
      </c>
      <c r="F31" s="7">
        <f t="shared" ref="F31:L31" si="5">E31*(1+$B$31)</f>
        <v>210</v>
      </c>
      <c r="G31" s="7">
        <f t="shared" si="5"/>
        <v>220.5</v>
      </c>
      <c r="H31" s="7">
        <f t="shared" si="5"/>
        <v>231.52500000000001</v>
      </c>
      <c r="I31" s="7">
        <f t="shared" si="5"/>
        <v>243.10125000000002</v>
      </c>
      <c r="J31" s="7">
        <f t="shared" si="5"/>
        <v>255.25631250000004</v>
      </c>
      <c r="K31" s="7">
        <f t="shared" si="5"/>
        <v>268.01912812500007</v>
      </c>
      <c r="L31" s="7">
        <f t="shared" si="5"/>
        <v>281.4200845312501</v>
      </c>
    </row>
    <row r="32" spans="1:12" x14ac:dyDescent="0.3">
      <c r="A32" s="10" t="str">
        <f t="shared" si="2"/>
        <v>Development of ECE Curriculum</v>
      </c>
      <c r="B32" s="72">
        <v>0.05</v>
      </c>
      <c r="C32" s="72">
        <v>0</v>
      </c>
      <c r="D32" s="7">
        <f>C11*(1+$C$32)</f>
        <v>350</v>
      </c>
      <c r="E32" s="7">
        <f>D32*(1+$C$32)</f>
        <v>350</v>
      </c>
      <c r="F32" s="7">
        <f t="shared" ref="F32:L32" si="6">E32*(1+$B$32)</f>
        <v>367.5</v>
      </c>
      <c r="G32" s="7">
        <f t="shared" si="6"/>
        <v>385.875</v>
      </c>
      <c r="H32" s="7">
        <f t="shared" si="6"/>
        <v>405.16875000000005</v>
      </c>
      <c r="I32" s="7">
        <f t="shared" si="6"/>
        <v>425.42718750000006</v>
      </c>
      <c r="J32" s="7">
        <f t="shared" si="6"/>
        <v>446.69854687500009</v>
      </c>
      <c r="K32" s="7">
        <f t="shared" si="6"/>
        <v>469.03347421875009</v>
      </c>
      <c r="L32" s="7">
        <f t="shared" si="6"/>
        <v>492.48514792968763</v>
      </c>
    </row>
    <row r="33" spans="1:12" x14ac:dyDescent="0.3">
      <c r="A33" s="10" t="str">
        <f t="shared" si="2"/>
        <v>Training of ECE Teachers (pre-service)</v>
      </c>
      <c r="B33" s="72">
        <v>0.05</v>
      </c>
      <c r="C33" s="72">
        <v>0</v>
      </c>
      <c r="D33" s="7">
        <f>C12*(1+$C$33)</f>
        <v>50</v>
      </c>
      <c r="E33" s="7">
        <f>D33*(1+$C$33)</f>
        <v>50</v>
      </c>
      <c r="F33" s="7">
        <f t="shared" ref="F33:L33" si="7">E33*(1+$B$33)</f>
        <v>52.5</v>
      </c>
      <c r="G33" s="7">
        <f t="shared" si="7"/>
        <v>55.125</v>
      </c>
      <c r="H33" s="7">
        <f t="shared" si="7"/>
        <v>57.881250000000001</v>
      </c>
      <c r="I33" s="7">
        <f t="shared" si="7"/>
        <v>60.775312500000005</v>
      </c>
      <c r="J33" s="7">
        <f t="shared" si="7"/>
        <v>63.814078125000009</v>
      </c>
      <c r="K33" s="7">
        <f t="shared" si="7"/>
        <v>67.004782031250016</v>
      </c>
      <c r="L33" s="7">
        <f t="shared" si="7"/>
        <v>70.355021132812524</v>
      </c>
    </row>
    <row r="34" spans="1:12" x14ac:dyDescent="0.3">
      <c r="A34" s="10" t="str">
        <f t="shared" si="2"/>
        <v>Training of ECE Teachers (in-service)</v>
      </c>
      <c r="B34" s="72">
        <v>0.05</v>
      </c>
      <c r="C34" s="72">
        <v>0</v>
      </c>
      <c r="D34" s="7">
        <f>C13*(1+$C$34)</f>
        <v>50</v>
      </c>
      <c r="E34" s="7">
        <f>D34*(1+$C$34)</f>
        <v>50</v>
      </c>
      <c r="F34" s="7">
        <f t="shared" ref="F34:L34" si="8">E34*(1+$B$34)</f>
        <v>52.5</v>
      </c>
      <c r="G34" s="7">
        <f t="shared" si="8"/>
        <v>55.125</v>
      </c>
      <c r="H34" s="7">
        <f t="shared" si="8"/>
        <v>57.881250000000001</v>
      </c>
      <c r="I34" s="7">
        <f t="shared" si="8"/>
        <v>60.775312500000005</v>
      </c>
      <c r="J34" s="7">
        <f t="shared" si="8"/>
        <v>63.814078125000009</v>
      </c>
      <c r="K34" s="7">
        <f t="shared" si="8"/>
        <v>67.004782031250016</v>
      </c>
      <c r="L34" s="7">
        <f t="shared" si="8"/>
        <v>70.355021132812524</v>
      </c>
    </row>
    <row r="35" spans="1:12" x14ac:dyDescent="0.3">
      <c r="A35" s="10" t="str">
        <f t="shared" si="2"/>
        <v>Training of ECE Caregivers</v>
      </c>
      <c r="B35" s="72">
        <v>0.05</v>
      </c>
      <c r="C35" s="72">
        <v>0</v>
      </c>
      <c r="D35" s="7">
        <f>C14*(1+$C$35)</f>
        <v>50</v>
      </c>
      <c r="E35" s="7">
        <f>D35*(1+$C$35)</f>
        <v>50</v>
      </c>
      <c r="F35" s="7">
        <f t="shared" ref="F35:L35" si="9">E35*(1+$B$35)</f>
        <v>52.5</v>
      </c>
      <c r="G35" s="7">
        <f t="shared" si="9"/>
        <v>55.125</v>
      </c>
      <c r="H35" s="7">
        <f t="shared" si="9"/>
        <v>57.881250000000001</v>
      </c>
      <c r="I35" s="7">
        <f t="shared" si="9"/>
        <v>60.775312500000005</v>
      </c>
      <c r="J35" s="7">
        <f t="shared" si="9"/>
        <v>63.814078125000009</v>
      </c>
      <c r="K35" s="7">
        <f t="shared" si="9"/>
        <v>67.004782031250016</v>
      </c>
      <c r="L35" s="7">
        <f t="shared" si="9"/>
        <v>70.355021132812524</v>
      </c>
    </row>
    <row r="36" spans="1:12" x14ac:dyDescent="0.3">
      <c r="A36" s="10" t="str">
        <f t="shared" si="2"/>
        <v>School Meals</v>
      </c>
      <c r="B36" s="72">
        <v>0.05</v>
      </c>
      <c r="C36" s="72">
        <v>0</v>
      </c>
      <c r="D36" s="7">
        <f>C15*(1+$C$36)</f>
        <v>200</v>
      </c>
      <c r="E36" s="7">
        <f>D36*(1+$C$36)</f>
        <v>200</v>
      </c>
      <c r="F36" s="7">
        <f t="shared" ref="F36:L36" si="10">E36*(1+$B$36)</f>
        <v>210</v>
      </c>
      <c r="G36" s="7">
        <f t="shared" si="10"/>
        <v>220.5</v>
      </c>
      <c r="H36" s="7">
        <f t="shared" si="10"/>
        <v>231.52500000000001</v>
      </c>
      <c r="I36" s="7">
        <f t="shared" si="10"/>
        <v>243.10125000000002</v>
      </c>
      <c r="J36" s="7">
        <f t="shared" si="10"/>
        <v>255.25631250000004</v>
      </c>
      <c r="K36" s="7">
        <f t="shared" si="10"/>
        <v>268.01912812500007</v>
      </c>
      <c r="L36" s="7">
        <f t="shared" si="10"/>
        <v>281.4200845312501</v>
      </c>
    </row>
    <row r="37" spans="1:12" x14ac:dyDescent="0.3">
      <c r="A37" s="10" t="str">
        <f t="shared" si="2"/>
        <v>Monitoring and Evaluation</v>
      </c>
      <c r="B37" s="72">
        <v>0.05</v>
      </c>
      <c r="C37" s="72">
        <v>0</v>
      </c>
      <c r="D37" s="7">
        <f>C16*(1+$C$37)</f>
        <v>2220</v>
      </c>
      <c r="E37" s="7">
        <f>D37*(1+$C$37)</f>
        <v>2220</v>
      </c>
      <c r="F37" s="7">
        <f t="shared" ref="F37:L37" si="11">E37*(1+$B$37)</f>
        <v>2331</v>
      </c>
      <c r="G37" s="7">
        <f t="shared" si="11"/>
        <v>2447.5500000000002</v>
      </c>
      <c r="H37" s="7">
        <f t="shared" si="11"/>
        <v>2569.9275000000002</v>
      </c>
      <c r="I37" s="7">
        <f t="shared" si="11"/>
        <v>2698.4238750000004</v>
      </c>
      <c r="J37" s="7">
        <f t="shared" si="11"/>
        <v>2833.3450687500003</v>
      </c>
      <c r="K37" s="7">
        <f t="shared" si="11"/>
        <v>2975.0123221875006</v>
      </c>
      <c r="L37" s="7">
        <f t="shared" si="11"/>
        <v>3123.7629382968757</v>
      </c>
    </row>
    <row r="38" spans="1:12" x14ac:dyDescent="0.3">
      <c r="A38" s="10" t="str">
        <f t="shared" si="2"/>
        <v>Capacity Building of Parents</v>
      </c>
      <c r="B38" s="72">
        <v>0.05</v>
      </c>
      <c r="C38" s="72">
        <v>0</v>
      </c>
      <c r="D38" s="7">
        <f>C17*(1+$B$38)</f>
        <v>52.5</v>
      </c>
      <c r="E38" s="7">
        <f t="shared" ref="E38:L38" si="12">D38*(1+$B$38)</f>
        <v>55.125</v>
      </c>
      <c r="F38" s="7">
        <f t="shared" si="12"/>
        <v>57.881250000000001</v>
      </c>
      <c r="G38" s="7">
        <f t="shared" si="12"/>
        <v>60.775312500000005</v>
      </c>
      <c r="H38" s="7">
        <f t="shared" si="12"/>
        <v>63.814078125000009</v>
      </c>
      <c r="I38" s="7">
        <f t="shared" si="12"/>
        <v>67.004782031250016</v>
      </c>
      <c r="J38" s="7">
        <f t="shared" si="12"/>
        <v>70.355021132812524</v>
      </c>
      <c r="K38" s="7">
        <f t="shared" si="12"/>
        <v>73.872772189453158</v>
      </c>
      <c r="L38" s="7">
        <f t="shared" si="12"/>
        <v>77.566410798925816</v>
      </c>
    </row>
    <row r="39" spans="1:12" x14ac:dyDescent="0.3">
      <c r="A39" s="26" t="str">
        <f t="shared" si="2"/>
        <v>Add additional strategies</v>
      </c>
      <c r="B39" s="72"/>
      <c r="C39" s="72"/>
      <c r="D39" s="7">
        <f>C18*(1+$B$39)</f>
        <v>0</v>
      </c>
      <c r="E39" s="7">
        <f t="shared" ref="E39:L39" si="13">D39*(1+$B$39)</f>
        <v>0</v>
      </c>
      <c r="F39" s="7">
        <f t="shared" si="13"/>
        <v>0</v>
      </c>
      <c r="G39" s="7">
        <f t="shared" si="13"/>
        <v>0</v>
      </c>
      <c r="H39" s="7">
        <f t="shared" si="13"/>
        <v>0</v>
      </c>
      <c r="I39" s="7">
        <f t="shared" si="13"/>
        <v>0</v>
      </c>
      <c r="J39" s="7">
        <f t="shared" si="13"/>
        <v>0</v>
      </c>
      <c r="K39" s="7">
        <f t="shared" si="13"/>
        <v>0</v>
      </c>
      <c r="L39" s="7">
        <f t="shared" si="13"/>
        <v>0</v>
      </c>
    </row>
    <row r="40" spans="1:12" x14ac:dyDescent="0.3">
      <c r="A40" s="26" t="str">
        <f t="shared" ref="A40:A42" si="14">A19</f>
        <v>Add additional strategies</v>
      </c>
      <c r="B40" s="72"/>
      <c r="C40" s="72"/>
      <c r="D40" s="7">
        <f t="shared" ref="D40:D42" si="15">C19*(1+$B$39)</f>
        <v>0</v>
      </c>
      <c r="E40" s="7">
        <f t="shared" ref="E40:E42" si="16">D40*(1+$B$39)</f>
        <v>0</v>
      </c>
      <c r="F40" s="7">
        <f t="shared" ref="F40:F42" si="17">E40*(1+$B$39)</f>
        <v>0</v>
      </c>
      <c r="G40" s="7">
        <f t="shared" ref="G40:G42" si="18">F40*(1+$B$39)</f>
        <v>0</v>
      </c>
      <c r="H40" s="7">
        <f t="shared" ref="H40:H42" si="19">G40*(1+$B$39)</f>
        <v>0</v>
      </c>
      <c r="I40" s="7">
        <f t="shared" ref="I40:I42" si="20">H40*(1+$B$39)</f>
        <v>0</v>
      </c>
      <c r="J40" s="7">
        <f t="shared" ref="J40:J42" si="21">I40*(1+$B$39)</f>
        <v>0</v>
      </c>
      <c r="K40" s="7">
        <f t="shared" ref="K40:K42" si="22">J40*(1+$B$39)</f>
        <v>0</v>
      </c>
      <c r="L40" s="7">
        <f t="shared" ref="L40:L42" si="23">K40*(1+$B$39)</f>
        <v>0</v>
      </c>
    </row>
    <row r="41" spans="1:12" x14ac:dyDescent="0.3">
      <c r="A41" s="26" t="str">
        <f t="shared" si="14"/>
        <v>Add additional strategies</v>
      </c>
      <c r="B41" s="72"/>
      <c r="C41" s="72"/>
      <c r="D41" s="7">
        <f t="shared" si="15"/>
        <v>0</v>
      </c>
      <c r="E41" s="7">
        <f t="shared" si="16"/>
        <v>0</v>
      </c>
      <c r="F41" s="7">
        <f t="shared" si="17"/>
        <v>0</v>
      </c>
      <c r="G41" s="7">
        <f t="shared" si="18"/>
        <v>0</v>
      </c>
      <c r="H41" s="7">
        <f t="shared" si="19"/>
        <v>0</v>
      </c>
      <c r="I41" s="7">
        <f t="shared" si="20"/>
        <v>0</v>
      </c>
      <c r="J41" s="7">
        <f t="shared" si="21"/>
        <v>0</v>
      </c>
      <c r="K41" s="7">
        <f t="shared" si="22"/>
        <v>0</v>
      </c>
      <c r="L41" s="7">
        <f t="shared" si="23"/>
        <v>0</v>
      </c>
    </row>
    <row r="42" spans="1:12" x14ac:dyDescent="0.3">
      <c r="A42" s="26" t="str">
        <f t="shared" si="14"/>
        <v>Add additional strategies</v>
      </c>
      <c r="B42" s="72"/>
      <c r="C42" s="72"/>
      <c r="D42" s="7">
        <f t="shared" si="15"/>
        <v>0</v>
      </c>
      <c r="E42" s="7">
        <f t="shared" si="16"/>
        <v>0</v>
      </c>
      <c r="F42" s="7">
        <f t="shared" si="17"/>
        <v>0</v>
      </c>
      <c r="G42" s="7">
        <f t="shared" si="18"/>
        <v>0</v>
      </c>
      <c r="H42" s="7">
        <f t="shared" si="19"/>
        <v>0</v>
      </c>
      <c r="I42" s="7">
        <f t="shared" si="20"/>
        <v>0</v>
      </c>
      <c r="J42" s="7">
        <f t="shared" si="21"/>
        <v>0</v>
      </c>
      <c r="K42" s="7">
        <f t="shared" si="22"/>
        <v>0</v>
      </c>
      <c r="L42" s="7">
        <f t="shared" si="23"/>
        <v>0</v>
      </c>
    </row>
  </sheetData>
  <sheetProtection algorithmName="SHA-512" hashValue="AbFzodBIQAxQ8iLsGKUpJ+Z55hTSuiiEgiotIaPuucNWilTOQaX1ibAxrI8hzUrZ989spCRqqlseGfOPDmgA7g==" saltValue="qJlP/qIYEUDttm56qoUujQ==" spinCount="100000" sheet="1" objects="1" scenarios="1"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2323-E35A-4532-A498-6312AFA92EC4}">
  <dimension ref="A1:N69"/>
  <sheetViews>
    <sheetView workbookViewId="0">
      <selection activeCell="F1" sqref="F1"/>
    </sheetView>
  </sheetViews>
  <sheetFormatPr defaultRowHeight="14.4" x14ac:dyDescent="0.3"/>
  <cols>
    <col min="1" max="1" width="34.44140625" customWidth="1"/>
    <col min="2" max="2" width="20.109375" bestFit="1" customWidth="1"/>
    <col min="3" max="3" width="10.5546875" customWidth="1"/>
    <col min="4" max="4" width="10.109375" customWidth="1"/>
    <col min="5" max="10" width="10.109375" bestFit="1" customWidth="1"/>
    <col min="11" max="11" width="10.5546875" customWidth="1"/>
    <col min="13" max="13" width="9.109375" customWidth="1"/>
  </cols>
  <sheetData>
    <row r="1" spans="1:14" x14ac:dyDescent="0.3">
      <c r="A1" s="48" t="s">
        <v>201</v>
      </c>
      <c r="C1" s="2"/>
    </row>
    <row r="3" spans="1:14" x14ac:dyDescent="0.3">
      <c r="A3" s="62" t="s">
        <v>175</v>
      </c>
    </row>
    <row r="5" spans="1:14" x14ac:dyDescent="0.3">
      <c r="A5" s="3" t="s">
        <v>80</v>
      </c>
      <c r="B5" s="3"/>
      <c r="C5" s="3"/>
      <c r="M5" s="11" t="s">
        <v>59</v>
      </c>
      <c r="N5" s="23" t="str">
        <f>Inputs!C89</f>
        <v>USD</v>
      </c>
    </row>
    <row r="6" spans="1:14" x14ac:dyDescent="0.3">
      <c r="E6" s="64" t="s">
        <v>91</v>
      </c>
    </row>
    <row r="7" spans="1:14" s="22" customFormat="1" ht="28.8" x14ac:dyDescent="0.3">
      <c r="A7" s="20" t="s">
        <v>56</v>
      </c>
      <c r="B7" s="20" t="s">
        <v>55</v>
      </c>
      <c r="C7" s="21" t="s">
        <v>197</v>
      </c>
      <c r="D7" s="21" t="s">
        <v>198</v>
      </c>
      <c r="E7" s="20">
        <f>Inputs!$F$5</f>
        <v>2021</v>
      </c>
      <c r="F7" s="20">
        <f>E7+1</f>
        <v>2022</v>
      </c>
      <c r="G7" s="20">
        <f t="shared" ref="G7:N7" si="0">F7+1</f>
        <v>2023</v>
      </c>
      <c r="H7" s="20">
        <f t="shared" si="0"/>
        <v>2024</v>
      </c>
      <c r="I7" s="20">
        <f t="shared" si="0"/>
        <v>2025</v>
      </c>
      <c r="J7" s="20">
        <f t="shared" si="0"/>
        <v>2026</v>
      </c>
      <c r="K7" s="20">
        <f t="shared" si="0"/>
        <v>2027</v>
      </c>
      <c r="L7" s="20">
        <f t="shared" si="0"/>
        <v>2028</v>
      </c>
      <c r="M7" s="20">
        <f t="shared" si="0"/>
        <v>2029</v>
      </c>
      <c r="N7" s="20">
        <f t="shared" si="0"/>
        <v>2030</v>
      </c>
    </row>
    <row r="8" spans="1:14" x14ac:dyDescent="0.3">
      <c r="A8" s="69" t="str">
        <f>Semantics!B8&amp;"s Construction"</f>
        <v>Classrooms Construction</v>
      </c>
      <c r="B8" s="7" t="s">
        <v>67</v>
      </c>
      <c r="C8" s="67">
        <v>0.05</v>
      </c>
      <c r="D8" s="67">
        <v>0</v>
      </c>
      <c r="E8" s="57">
        <f>Inputs!C92</f>
        <v>7612</v>
      </c>
      <c r="F8" s="7">
        <f>E8*(1+$D$8)</f>
        <v>7612</v>
      </c>
      <c r="G8" s="7">
        <f>F8*(1+$D$8)</f>
        <v>7612</v>
      </c>
      <c r="H8" s="7">
        <f t="shared" ref="H8:N8" si="1">G8*(1+$C$8)</f>
        <v>7992.6</v>
      </c>
      <c r="I8" s="7">
        <f t="shared" si="1"/>
        <v>8392.2300000000014</v>
      </c>
      <c r="J8" s="7">
        <f t="shared" si="1"/>
        <v>8811.8415000000023</v>
      </c>
      <c r="K8" s="7">
        <f t="shared" si="1"/>
        <v>9252.4335750000027</v>
      </c>
      <c r="L8" s="7">
        <f t="shared" si="1"/>
        <v>9715.0552537500025</v>
      </c>
      <c r="M8" s="7">
        <f t="shared" si="1"/>
        <v>10200.808016437502</v>
      </c>
      <c r="N8" s="7">
        <f t="shared" si="1"/>
        <v>10710.848417259378</v>
      </c>
    </row>
    <row r="9" spans="1:14" x14ac:dyDescent="0.3">
      <c r="A9" s="69" t="str">
        <f>Semantics!B9&amp;"s"</f>
        <v>ECE Kits</v>
      </c>
      <c r="B9" s="7" t="s">
        <v>65</v>
      </c>
      <c r="C9" s="67">
        <v>0.05</v>
      </c>
      <c r="D9" s="67">
        <v>0</v>
      </c>
      <c r="E9" s="57">
        <f>Inputs!C93</f>
        <v>645</v>
      </c>
      <c r="F9" s="7">
        <f>E9*(1+$D$9)</f>
        <v>645</v>
      </c>
      <c r="G9" s="7">
        <f>F9*(1+$D$9)</f>
        <v>645</v>
      </c>
      <c r="H9" s="7">
        <f t="shared" ref="H9:N9" si="2">G9*(1+$C$9)</f>
        <v>677.25</v>
      </c>
      <c r="I9" s="7">
        <f t="shared" si="2"/>
        <v>711.11250000000007</v>
      </c>
      <c r="J9" s="7">
        <f t="shared" si="2"/>
        <v>746.66812500000015</v>
      </c>
      <c r="K9" s="7">
        <f t="shared" si="2"/>
        <v>784.0015312500002</v>
      </c>
      <c r="L9" s="7">
        <f t="shared" si="2"/>
        <v>823.20160781250024</v>
      </c>
      <c r="M9" s="7">
        <f t="shared" si="2"/>
        <v>864.36168820312525</v>
      </c>
      <c r="N9" s="7">
        <f t="shared" si="2"/>
        <v>907.57977261328153</v>
      </c>
    </row>
    <row r="10" spans="1:14" x14ac:dyDescent="0.3">
      <c r="A10" s="69" t="str">
        <f>Semantics!B10&amp;"s"</f>
        <v>Reading Corners</v>
      </c>
      <c r="B10" s="7" t="s">
        <v>66</v>
      </c>
      <c r="C10" s="67">
        <v>0.05</v>
      </c>
      <c r="D10" s="67">
        <v>0</v>
      </c>
      <c r="E10" s="57">
        <f>Inputs!C94</f>
        <v>2125</v>
      </c>
      <c r="F10" s="7">
        <f>E10*(1+$D$10)</f>
        <v>2125</v>
      </c>
      <c r="G10" s="7">
        <f>F10*(1+$D$10)</f>
        <v>2125</v>
      </c>
      <c r="H10" s="7">
        <f t="shared" ref="H10:N10" si="3">G10*(1+$C$10)</f>
        <v>2231.25</v>
      </c>
      <c r="I10" s="7">
        <f t="shared" si="3"/>
        <v>2342.8125</v>
      </c>
      <c r="J10" s="7">
        <f t="shared" si="3"/>
        <v>2459.953125</v>
      </c>
      <c r="K10" s="7">
        <f t="shared" si="3"/>
        <v>2582.9507812500001</v>
      </c>
      <c r="L10" s="7">
        <f t="shared" si="3"/>
        <v>2712.0983203125002</v>
      </c>
      <c r="M10" s="7">
        <f t="shared" si="3"/>
        <v>2847.7032363281255</v>
      </c>
      <c r="N10" s="7">
        <f t="shared" si="3"/>
        <v>2990.0883981445318</v>
      </c>
    </row>
    <row r="11" spans="1:14" x14ac:dyDescent="0.3">
      <c r="A11" s="69" t="str">
        <f>"New "&amp;Semantics!B6&amp;"s Salary"</f>
        <v>New Teachers Salary</v>
      </c>
      <c r="B11" s="7" t="s">
        <v>68</v>
      </c>
      <c r="C11" s="67">
        <v>0.1</v>
      </c>
      <c r="D11" s="67">
        <v>0</v>
      </c>
      <c r="E11" s="57">
        <f>Inputs!C95</f>
        <v>2580</v>
      </c>
      <c r="F11" s="7">
        <f>E11*(1+$D$11)</f>
        <v>2580</v>
      </c>
      <c r="G11" s="7">
        <f>F11*(1+$D$11)</f>
        <v>2580</v>
      </c>
      <c r="H11" s="7">
        <f t="shared" ref="H11:N11" si="4">G11*(1+$C$11)</f>
        <v>2838.0000000000005</v>
      </c>
      <c r="I11" s="7">
        <f t="shared" si="4"/>
        <v>3121.8000000000006</v>
      </c>
      <c r="J11" s="7">
        <f t="shared" si="4"/>
        <v>3433.9800000000009</v>
      </c>
      <c r="K11" s="7">
        <f t="shared" si="4"/>
        <v>3777.3780000000015</v>
      </c>
      <c r="L11" s="7">
        <f t="shared" si="4"/>
        <v>4155.1158000000023</v>
      </c>
      <c r="M11" s="7">
        <f t="shared" si="4"/>
        <v>4570.6273800000026</v>
      </c>
      <c r="N11" s="7">
        <f t="shared" si="4"/>
        <v>5027.6901180000032</v>
      </c>
    </row>
    <row r="12" spans="1:14" x14ac:dyDescent="0.3">
      <c r="A12" s="69" t="str">
        <f>"Existing "&amp;Semantics!B6&amp;"s Salary"</f>
        <v>Existing Teachers Salary</v>
      </c>
      <c r="B12" s="7" t="s">
        <v>68</v>
      </c>
      <c r="C12" s="67">
        <v>0.1</v>
      </c>
      <c r="D12" s="67">
        <v>0</v>
      </c>
      <c r="E12" s="57">
        <f>Inputs!C96</f>
        <v>3125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7" t="s">
        <v>34</v>
      </c>
    </row>
    <row r="13" spans="1:14" x14ac:dyDescent="0.3">
      <c r="A13" s="69" t="str">
        <f>"New "&amp;Semantics!B7&amp;"s Salary"</f>
        <v>New Caregivers Salary</v>
      </c>
      <c r="B13" s="7" t="s">
        <v>69</v>
      </c>
      <c r="C13" s="67">
        <v>0.1</v>
      </c>
      <c r="D13" s="67">
        <v>0</v>
      </c>
      <c r="E13" s="57">
        <f>Inputs!C97</f>
        <v>2220</v>
      </c>
      <c r="F13" s="7">
        <f>E13*(1+$D$13)</f>
        <v>2220</v>
      </c>
      <c r="G13" s="7">
        <f>F13*(1+$D$13)</f>
        <v>2220</v>
      </c>
      <c r="H13" s="7">
        <f t="shared" ref="H13" si="5">G13*(1+$C$13)</f>
        <v>2442</v>
      </c>
      <c r="I13" s="7">
        <f t="shared" ref="I13" si="6">H13*(1+$C$13)</f>
        <v>2686.2000000000003</v>
      </c>
      <c r="J13" s="7">
        <f t="shared" ref="J13" si="7">I13*(1+$C$13)</f>
        <v>2954.8200000000006</v>
      </c>
      <c r="K13" s="7">
        <f t="shared" ref="K13" si="8">J13*(1+$C$13)</f>
        <v>3250.302000000001</v>
      </c>
      <c r="L13" s="7">
        <f t="shared" ref="L13" si="9">K13*(1+$C$13)</f>
        <v>3575.3322000000016</v>
      </c>
      <c r="M13" s="7">
        <f t="shared" ref="M13" si="10">L13*(1+$C$13)</f>
        <v>3932.8654200000019</v>
      </c>
      <c r="N13" s="7">
        <f t="shared" ref="N13" si="11">M13*(1+$C$13)</f>
        <v>4326.1519620000026</v>
      </c>
    </row>
    <row r="14" spans="1:14" x14ac:dyDescent="0.3">
      <c r="A14" s="69" t="str">
        <f>"Existing "&amp;Semantics!B7&amp;"s Salary"</f>
        <v>Existing Caregivers Salary</v>
      </c>
      <c r="B14" s="7" t="s">
        <v>69</v>
      </c>
      <c r="C14" s="67">
        <v>0.1</v>
      </c>
      <c r="D14" s="67">
        <v>0</v>
      </c>
      <c r="E14" s="57">
        <f>Inputs!C98</f>
        <v>2745</v>
      </c>
      <c r="F14" s="7" t="s">
        <v>34</v>
      </c>
      <c r="G14" s="7" t="s">
        <v>34</v>
      </c>
      <c r="H14" s="7" t="s">
        <v>34</v>
      </c>
      <c r="I14" s="7" t="s">
        <v>34</v>
      </c>
      <c r="J14" s="7" t="s">
        <v>34</v>
      </c>
      <c r="K14" s="7" t="s">
        <v>34</v>
      </c>
      <c r="L14" s="7" t="s">
        <v>34</v>
      </c>
      <c r="M14" s="7" t="s">
        <v>34</v>
      </c>
      <c r="N14" s="7" t="s">
        <v>34</v>
      </c>
    </row>
    <row r="15" spans="1:14" x14ac:dyDescent="0.3">
      <c r="A15" s="69" t="s">
        <v>226</v>
      </c>
      <c r="B15" s="7" t="s">
        <v>228</v>
      </c>
      <c r="C15" s="67">
        <v>0.1</v>
      </c>
      <c r="D15" s="67">
        <v>0</v>
      </c>
      <c r="E15" s="57">
        <f>Inputs!C99</f>
        <v>1500</v>
      </c>
      <c r="F15" s="7">
        <f>E15*(1+$D$15)</f>
        <v>1500</v>
      </c>
      <c r="G15" s="7">
        <f>F15*(1+$D$15)</f>
        <v>1500</v>
      </c>
      <c r="H15" s="7">
        <f>G15*(1+$C$15)</f>
        <v>1650.0000000000002</v>
      </c>
      <c r="I15" s="7">
        <f t="shared" ref="I15:N15" si="12">H15*(1+$C$15)</f>
        <v>1815.0000000000005</v>
      </c>
      <c r="J15" s="7">
        <f t="shared" si="12"/>
        <v>1996.5000000000007</v>
      </c>
      <c r="K15" s="7">
        <f t="shared" si="12"/>
        <v>2196.150000000001</v>
      </c>
      <c r="L15" s="7">
        <f t="shared" si="12"/>
        <v>2415.7650000000012</v>
      </c>
      <c r="M15" s="7">
        <f t="shared" si="12"/>
        <v>2657.3415000000014</v>
      </c>
      <c r="N15" s="7">
        <f t="shared" si="12"/>
        <v>2923.0756500000016</v>
      </c>
    </row>
    <row r="16" spans="1:14" x14ac:dyDescent="0.3">
      <c r="A16" s="69" t="s">
        <v>225</v>
      </c>
      <c r="B16" s="7" t="s">
        <v>228</v>
      </c>
      <c r="C16" s="67">
        <v>0.1</v>
      </c>
      <c r="D16" s="67">
        <v>0</v>
      </c>
      <c r="E16" s="57">
        <f>Inputs!C100</f>
        <v>1750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 t="s">
        <v>34</v>
      </c>
      <c r="L16" s="7" t="s">
        <v>34</v>
      </c>
      <c r="M16" s="7" t="s">
        <v>34</v>
      </c>
      <c r="N16" s="7" t="s">
        <v>34</v>
      </c>
    </row>
    <row r="17" spans="1:14" x14ac:dyDescent="0.3">
      <c r="A17" s="69" t="s">
        <v>64</v>
      </c>
      <c r="B17" s="7" t="s">
        <v>70</v>
      </c>
      <c r="C17" s="67">
        <v>0.03</v>
      </c>
      <c r="D17" s="67">
        <v>0</v>
      </c>
      <c r="E17" s="57">
        <f>Inputs!C101</f>
        <v>2400</v>
      </c>
      <c r="F17" s="7">
        <f>E17*(1+$D$17)</f>
        <v>2400</v>
      </c>
      <c r="G17" s="7">
        <f>F17*(1+$D$17)</f>
        <v>2400</v>
      </c>
      <c r="H17" s="7">
        <f t="shared" ref="H17:N17" si="13">G17*(1+$C$17)</f>
        <v>2472</v>
      </c>
      <c r="I17" s="7">
        <f t="shared" si="13"/>
        <v>2546.16</v>
      </c>
      <c r="J17" s="7">
        <f t="shared" si="13"/>
        <v>2622.5448000000001</v>
      </c>
      <c r="K17" s="7">
        <f t="shared" si="13"/>
        <v>2701.2211440000001</v>
      </c>
      <c r="L17" s="7">
        <f t="shared" si="13"/>
        <v>2782.2577783199999</v>
      </c>
      <c r="M17" s="7">
        <f t="shared" si="13"/>
        <v>2865.7255116696001</v>
      </c>
      <c r="N17" s="7">
        <f t="shared" si="13"/>
        <v>2951.697277019688</v>
      </c>
    </row>
    <row r="18" spans="1:14" x14ac:dyDescent="0.3">
      <c r="A18" s="69" t="str">
        <f>Semantics!B13 &amp;" Cost for "&amp;Semantics!B8&amp;"s"</f>
        <v>O&amp;M Cost for Classrooms</v>
      </c>
      <c r="B18" s="7" t="s">
        <v>67</v>
      </c>
      <c r="C18" s="67">
        <v>0.05</v>
      </c>
      <c r="D18" s="67">
        <v>0</v>
      </c>
      <c r="E18" s="57">
        <f>Inputs!C105</f>
        <v>380.6</v>
      </c>
      <c r="F18" s="7">
        <f>E18*(1+$D$18)</f>
        <v>380.6</v>
      </c>
      <c r="G18" s="7">
        <f>F18*(1+$D$18)</f>
        <v>380.6</v>
      </c>
      <c r="H18" s="7">
        <f t="shared" ref="H18:N18" si="14">G18*(1+$C$18)</f>
        <v>399.63000000000005</v>
      </c>
      <c r="I18" s="7">
        <f t="shared" si="14"/>
        <v>419.61150000000009</v>
      </c>
      <c r="J18" s="7">
        <f t="shared" si="14"/>
        <v>440.59207500000014</v>
      </c>
      <c r="K18" s="7">
        <f t="shared" si="14"/>
        <v>462.62167875000017</v>
      </c>
      <c r="L18" s="7">
        <f t="shared" si="14"/>
        <v>485.75276268750019</v>
      </c>
      <c r="M18" s="7">
        <f t="shared" si="14"/>
        <v>510.04040082187521</v>
      </c>
      <c r="N18" s="7">
        <f t="shared" si="14"/>
        <v>535.54242086296904</v>
      </c>
    </row>
    <row r="19" spans="1:14" x14ac:dyDescent="0.3">
      <c r="A19" s="70" t="s">
        <v>72</v>
      </c>
      <c r="B19" s="7"/>
      <c r="C19" s="67"/>
      <c r="D19" s="67"/>
      <c r="E19" s="57"/>
      <c r="F19" s="7"/>
      <c r="G19" s="7"/>
      <c r="H19" s="7"/>
      <c r="I19" s="7"/>
      <c r="J19" s="7"/>
      <c r="K19" s="7"/>
      <c r="L19" s="7"/>
      <c r="M19" s="7"/>
      <c r="N19" s="7"/>
    </row>
    <row r="21" spans="1:14" x14ac:dyDescent="0.3">
      <c r="A21" s="3" t="s">
        <v>78</v>
      </c>
      <c r="B21" s="3"/>
      <c r="C21" s="3"/>
    </row>
    <row r="23" spans="1:14" x14ac:dyDescent="0.3">
      <c r="A23" s="20" t="s">
        <v>56</v>
      </c>
      <c r="B23" s="20" t="s">
        <v>74</v>
      </c>
      <c r="C23" s="20">
        <f>Inputs!$F$5+1</f>
        <v>2022</v>
      </c>
      <c r="D23" s="20">
        <f>C23+1</f>
        <v>2023</v>
      </c>
      <c r="E23" s="20">
        <f t="shared" ref="E23:K23" si="15">D23+1</f>
        <v>2024</v>
      </c>
      <c r="F23" s="20">
        <f t="shared" si="15"/>
        <v>2025</v>
      </c>
      <c r="G23" s="20">
        <f t="shared" si="15"/>
        <v>2026</v>
      </c>
      <c r="H23" s="20">
        <f t="shared" si="15"/>
        <v>2027</v>
      </c>
      <c r="I23" s="20">
        <f t="shared" si="15"/>
        <v>2028</v>
      </c>
      <c r="J23" s="20">
        <f t="shared" si="15"/>
        <v>2029</v>
      </c>
      <c r="K23" s="20">
        <f t="shared" si="15"/>
        <v>2030</v>
      </c>
    </row>
    <row r="24" spans="1:14" x14ac:dyDescent="0.3">
      <c r="A24" s="104" t="str">
        <f>A8</f>
        <v>Classrooms Construction</v>
      </c>
      <c r="B24" s="8" t="s">
        <v>13</v>
      </c>
      <c r="C24" s="7">
        <f>'Classrooms &amp; Materials'!D69*(F8+F18)</f>
        <v>3125506.2300000023</v>
      </c>
      <c r="D24" s="7">
        <f>'Classrooms &amp; Materials'!E69*(G8+G18)</f>
        <v>3555491.6452440037</v>
      </c>
      <c r="E24" s="7">
        <f>'Classrooms &amp; Materials'!F69*(H8+H18)</f>
        <v>4685270.2043550545</v>
      </c>
      <c r="F24" s="7">
        <f>'Classrooms &amp; Materials'!G69*(I8+I18)</f>
        <v>5303222.8826883445</v>
      </c>
      <c r="G24" s="7">
        <f>'Classrooms &amp; Materials'!H69*(J8+J18)</f>
        <v>5780684.924813861</v>
      </c>
      <c r="H24" s="7">
        <f>'Classrooms &amp; Materials'!I69*(K8+K18)</f>
        <v>4420000.6485718824</v>
      </c>
      <c r="I24" s="7">
        <f>'Classrooms &amp; Materials'!J69*(L8+L18)</f>
        <v>4904463.037611681</v>
      </c>
      <c r="J24" s="7">
        <f>'Classrooms &amp; Materials'!K69*(M8+M18)</f>
        <v>4844435.524842687</v>
      </c>
      <c r="K24" s="7">
        <f>'Classrooms &amp; Materials'!L69*(N8+N18)</f>
        <v>4967421.63776928</v>
      </c>
      <c r="L24" t="str">
        <f>"cost includes construction and "&amp;Semantics!B13</f>
        <v>cost includes construction and O&amp;M</v>
      </c>
    </row>
    <row r="25" spans="1:14" x14ac:dyDescent="0.3">
      <c r="A25" s="105"/>
      <c r="B25" s="8" t="s">
        <v>14</v>
      </c>
      <c r="C25" s="7">
        <f>'Classrooms &amp; Materials'!D70*(F8+F18)</f>
        <v>2694337.4304000009</v>
      </c>
      <c r="D25" s="7">
        <f>'Classrooms &amp; Materials'!E70*(G8+G18)</f>
        <v>3108942.6854640022</v>
      </c>
      <c r="E25" s="7">
        <f>'Classrooms &amp; Materials'!F70*(H8+H18)</f>
        <v>3881605.8292140365</v>
      </c>
      <c r="F25" s="7">
        <f>'Classrooms &amp; Materials'!G70*(I8+I18)</f>
        <v>4877196.1082222927</v>
      </c>
      <c r="G25" s="7">
        <f>'Classrooms &amp; Materials'!H70*(J8+J18)</f>
        <v>5343415.7268943507</v>
      </c>
      <c r="H25" s="7">
        <f>'Classrooms &amp; Materials'!I70*(K8+K18)</f>
        <v>3511398.8661054783</v>
      </c>
      <c r="I25" s="7">
        <f>'Classrooms &amp; Materials'!J70*(L8+L18)</f>
        <v>4255833.12281413</v>
      </c>
      <c r="J25" s="7">
        <f>'Classrooms &amp; Materials'!K70*(M8+M18)</f>
        <v>4823142.0709676305</v>
      </c>
      <c r="K25" s="7">
        <f>'Classrooms &amp; Materials'!L70*(N8+N18)</f>
        <v>5465380.7293976294</v>
      </c>
    </row>
    <row r="26" spans="1:14" x14ac:dyDescent="0.3">
      <c r="A26" s="106"/>
      <c r="B26" s="8" t="s">
        <v>18</v>
      </c>
      <c r="C26" s="7">
        <f>C24+C25</f>
        <v>5819843.6604000032</v>
      </c>
      <c r="D26" s="7">
        <f t="shared" ref="D26:K26" si="16">D24+D25</f>
        <v>6664434.3307080064</v>
      </c>
      <c r="E26" s="7">
        <f t="shared" si="16"/>
        <v>8566876.0335690901</v>
      </c>
      <c r="F26" s="7">
        <f t="shared" si="16"/>
        <v>10180418.990910638</v>
      </c>
      <c r="G26" s="7">
        <f t="shared" si="16"/>
        <v>11124100.651708212</v>
      </c>
      <c r="H26" s="7">
        <f t="shared" si="16"/>
        <v>7931399.5146773607</v>
      </c>
      <c r="I26" s="7">
        <f t="shared" si="16"/>
        <v>9160296.160425812</v>
      </c>
      <c r="J26" s="7">
        <f t="shared" si="16"/>
        <v>9667577.5958103165</v>
      </c>
      <c r="K26" s="7">
        <f t="shared" si="16"/>
        <v>10432802.36716691</v>
      </c>
    </row>
    <row r="27" spans="1:14" x14ac:dyDescent="0.3">
      <c r="A27" s="107" t="str">
        <f>A9</f>
        <v>ECE Kits</v>
      </c>
      <c r="B27" s="27" t="s">
        <v>13</v>
      </c>
      <c r="C27" s="30">
        <f>'Classrooms &amp; Materials'!D108*F9</f>
        <v>159863.25000000017</v>
      </c>
      <c r="D27" s="30">
        <f>'Classrooms &amp; Materials'!E108*G9</f>
        <v>102727.53750000002</v>
      </c>
      <c r="E27" s="30">
        <f>'Classrooms &amp; Materials'!F108*H9</f>
        <v>111530.12259375009</v>
      </c>
      <c r="F27" s="30">
        <f>'Classrooms &amp; Materials'!G108*I9</f>
        <v>121148.62328460952</v>
      </c>
      <c r="G27" s="30">
        <f>'Classrooms &amp; Materials'!H108*J9</f>
        <v>131662.35345253209</v>
      </c>
      <c r="H27" s="30">
        <f>'Classrooms &amp; Materials'!I108*K9</f>
        <v>103174.46268297915</v>
      </c>
      <c r="I27" s="30">
        <f>'Classrooms &amp; Materials'!J108*L9</f>
        <v>113749.84510798439</v>
      </c>
      <c r="J27" s="30">
        <f>'Classrooms &amp; Materials'!K108*M9</f>
        <v>125409.20423155285</v>
      </c>
      <c r="K27" s="30">
        <f>'Classrooms &amp; Materials'!L108*N9</f>
        <v>138263.64766528699</v>
      </c>
    </row>
    <row r="28" spans="1:14" x14ac:dyDescent="0.3">
      <c r="A28" s="108"/>
      <c r="B28" s="27" t="s">
        <v>14</v>
      </c>
      <c r="C28" s="30">
        <f>'Classrooms &amp; Materials'!D109*F9</f>
        <v>46440</v>
      </c>
      <c r="D28" s="30">
        <f>'Classrooms &amp; Materials'!E109*G9</f>
        <v>119570.38380000021</v>
      </c>
      <c r="E28" s="30">
        <f>'Classrooms &amp; Materials'!F109*H9</f>
        <v>118213.95417930021</v>
      </c>
      <c r="F28" s="30">
        <f>'Classrooms &amp; Materials'!G109*I9</f>
        <v>128258.75194346347</v>
      </c>
      <c r="G28" s="30">
        <f>'Classrooms &amp; Materials'!H109*J9</f>
        <v>140308.97075464184</v>
      </c>
      <c r="H28" s="30">
        <f>'Classrooms &amp; Materials'!I109*K9</f>
        <v>119930.49565495728</v>
      </c>
      <c r="I28" s="30">
        <f>'Classrooms &amp; Materials'!J109*L9</f>
        <v>132922.7096735684</v>
      </c>
      <c r="J28" s="30">
        <f>'Classrooms &amp; Materials'!K109*M9</f>
        <v>147308.77326172643</v>
      </c>
      <c r="K28" s="30">
        <f>'Classrooms &amp; Materials'!L109*N9</f>
        <v>107931.3139405643</v>
      </c>
    </row>
    <row r="29" spans="1:14" x14ac:dyDescent="0.3">
      <c r="A29" s="109"/>
      <c r="B29" s="27" t="s">
        <v>18</v>
      </c>
      <c r="C29" s="30">
        <f>C27+C28</f>
        <v>206303.25000000017</v>
      </c>
      <c r="D29" s="30">
        <f t="shared" ref="D29:K29" si="17">D27+D28</f>
        <v>222297.92130000022</v>
      </c>
      <c r="E29" s="30">
        <f t="shared" si="17"/>
        <v>229744.0767730503</v>
      </c>
      <c r="F29" s="30">
        <f t="shared" si="17"/>
        <v>249407.37522807298</v>
      </c>
      <c r="G29" s="30">
        <f t="shared" si="17"/>
        <v>271971.32420717389</v>
      </c>
      <c r="H29" s="30">
        <f t="shared" si="17"/>
        <v>223104.95833793643</v>
      </c>
      <c r="I29" s="30">
        <f t="shared" si="17"/>
        <v>246672.55478155281</v>
      </c>
      <c r="J29" s="30">
        <f t="shared" si="17"/>
        <v>272717.97749327926</v>
      </c>
      <c r="K29" s="30">
        <f t="shared" si="17"/>
        <v>246194.96160585131</v>
      </c>
    </row>
    <row r="30" spans="1:14" x14ac:dyDescent="0.3">
      <c r="A30" s="104" t="str">
        <f>A10</f>
        <v>Reading Corners</v>
      </c>
      <c r="B30" s="8" t="s">
        <v>13</v>
      </c>
      <c r="C30" s="7">
        <f>'Classrooms &amp; Materials'!D165*F10</f>
        <v>679681.25000000058</v>
      </c>
      <c r="D30" s="7">
        <f>'Classrooms &amp; Materials'!E165*G10</f>
        <v>794001.87250000087</v>
      </c>
      <c r="E30" s="7">
        <f>'Classrooms &amp; Materials'!F165*H10</f>
        <v>1086812.1493950016</v>
      </c>
      <c r="F30" s="7">
        <f>'Classrooms &amp; Materials'!G165*I10</f>
        <v>1243164.5530569186</v>
      </c>
      <c r="G30" s="7">
        <f>'Classrooms &amp; Materials'!H165*J10</f>
        <v>1361767.41802817</v>
      </c>
      <c r="H30" s="7">
        <f>'Classrooms &amp; Materials'!I165*K10</f>
        <v>1175149.6857362119</v>
      </c>
      <c r="I30" s="7">
        <f>'Classrooms &amp; Materials'!J165*L10</f>
        <v>1303954.1519561619</v>
      </c>
      <c r="J30" s="7">
        <f>'Classrooms &amp; Materials'!K165*M10</f>
        <v>1287994.581274017</v>
      </c>
      <c r="K30" s="7">
        <f>'Classrooms &amp; Materials'!L165*N10</f>
        <v>1320693.0135700172</v>
      </c>
    </row>
    <row r="31" spans="1:14" x14ac:dyDescent="0.3">
      <c r="A31" s="105"/>
      <c r="B31" s="8" t="s">
        <v>14</v>
      </c>
      <c r="C31" s="7">
        <f>'Classrooms &amp; Materials'!D166*F10</f>
        <v>637721.00000000023</v>
      </c>
      <c r="D31" s="7">
        <f>'Classrooms &amp; Materials'!E166*G10</f>
        <v>747952.48500000045</v>
      </c>
      <c r="E31" s="7">
        <f>'Classrooms &amp; Materials'!F166*H10</f>
        <v>949449.9040775001</v>
      </c>
      <c r="F31" s="7">
        <f>'Classrooms &amp; Materials'!G166*I10</f>
        <v>1210020.605564506</v>
      </c>
      <c r="G31" s="7">
        <f>'Classrooms &amp; Materials'!H166*J10</f>
        <v>1329640.6463248651</v>
      </c>
      <c r="H31" s="7">
        <f>'Classrooms &amp; Materials'!I166*K10</f>
        <v>933578.88427722384</v>
      </c>
      <c r="I31" s="7">
        <f>'Classrooms &amp; Materials'!J166*L10</f>
        <v>1131502.3128869236</v>
      </c>
      <c r="J31" s="7">
        <f>'Classrooms &amp; Materials'!K166*M10</f>
        <v>1282333.2708763373</v>
      </c>
      <c r="K31" s="7">
        <f>'Classrooms &amp; Materials'!L166*N10</f>
        <v>1453085.8606673626</v>
      </c>
    </row>
    <row r="32" spans="1:14" x14ac:dyDescent="0.3">
      <c r="A32" s="106"/>
      <c r="B32" s="8" t="s">
        <v>18</v>
      </c>
      <c r="C32" s="7">
        <f>C30+C31</f>
        <v>1317402.2500000009</v>
      </c>
      <c r="D32" s="7">
        <f t="shared" ref="D32:K32" si="18">D30+D31</f>
        <v>1541954.3575000013</v>
      </c>
      <c r="E32" s="7">
        <f t="shared" si="18"/>
        <v>2036262.0534725017</v>
      </c>
      <c r="F32" s="7">
        <f t="shared" si="18"/>
        <v>2453185.1586214248</v>
      </c>
      <c r="G32" s="7">
        <f t="shared" si="18"/>
        <v>2691408.0643530348</v>
      </c>
      <c r="H32" s="7">
        <f t="shared" si="18"/>
        <v>2108728.5700134356</v>
      </c>
      <c r="I32" s="7">
        <f t="shared" si="18"/>
        <v>2435456.4648430855</v>
      </c>
      <c r="J32" s="7">
        <f t="shared" si="18"/>
        <v>2570327.8521503545</v>
      </c>
      <c r="K32" s="7">
        <f t="shared" si="18"/>
        <v>2773778.87423738</v>
      </c>
    </row>
    <row r="33" spans="1:12" x14ac:dyDescent="0.3">
      <c r="A33" s="107" t="str">
        <f>Semantics!B6 &amp;" Salary"</f>
        <v>Teacher Salary</v>
      </c>
      <c r="B33" s="27" t="s">
        <v>13</v>
      </c>
      <c r="C33" s="30">
        <f>'Human Resource'!D66*F11</f>
        <v>881643.33333333407</v>
      </c>
      <c r="D33" s="30">
        <f>('Human Resource'!E66*G11)+(C33*$C$12)</f>
        <v>1124028.4280000012</v>
      </c>
      <c r="E33" s="30">
        <f>('Human Resource'!F66*H11)+(D33*$C$12)</f>
        <v>1609563.4994986693</v>
      </c>
      <c r="F33" s="30">
        <f>('Human Resource'!G66*I11)+(E33*$C$12)</f>
        <v>1958867.3172947133</v>
      </c>
      <c r="G33" s="30">
        <f>('Human Resource'!H66*J11)+(F33*$C$12)</f>
        <v>2261137.7791563156</v>
      </c>
      <c r="H33" s="30">
        <f>('Human Resource'!I66*K11)+(G33*$C$12)</f>
        <v>2135637.2241789307</v>
      </c>
      <c r="I33" s="30">
        <f>('Human Resource'!J66*L11)+(H33*$C$12)</f>
        <v>2433280.2417431124</v>
      </c>
      <c r="J33" s="30">
        <f>('Human Resource'!K66*M11)+(I33*$C$12)</f>
        <v>2540283.6991754356</v>
      </c>
      <c r="K33" s="30">
        <f>('Human Resource'!L66*N11)+(J33*$C$12)</f>
        <v>2721452.7136846315</v>
      </c>
      <c r="L33" t="str">
        <f>"old " &amp;Semantics!B6 &amp;" salaries also continued"</f>
        <v>old Teacher salaries also continued</v>
      </c>
    </row>
    <row r="34" spans="1:12" x14ac:dyDescent="0.3">
      <c r="A34" s="108"/>
      <c r="B34" s="27" t="s">
        <v>14</v>
      </c>
      <c r="C34" s="30">
        <f>'Human Resource'!D67*F11</f>
        <v>798091.46666666691</v>
      </c>
      <c r="D34" s="30">
        <f>('Human Resource'!E67*G11)+(C34*$C$12)</f>
        <v>1026605.0480000008</v>
      </c>
      <c r="E34" s="30">
        <f>('Human Resource'!F67*H11)+(D34*$C$12)</f>
        <v>1376051.4486017781</v>
      </c>
      <c r="F34" s="30">
        <f>('Human Resource'!G67*I11)+(E34*$C$12)</f>
        <v>1853839.1531040799</v>
      </c>
      <c r="G34" s="30">
        <f>('Human Resource'!H67*J11)+(F34*$C$12)</f>
        <v>2164938.4192687767</v>
      </c>
      <c r="H34" s="30">
        <f>('Human Resource'!I67*K11)+(G34*$C$12)</f>
        <v>1733484.2220475716</v>
      </c>
      <c r="I34" s="30">
        <f>('Human Resource'!J67*L11)+(H34*$C$12)</f>
        <v>2099500.7886832342</v>
      </c>
      <c r="J34" s="30">
        <f>('Human Resource'!K67*M11)+(I34*$C$12)</f>
        <v>2496809.6096504009</v>
      </c>
      <c r="K34" s="30">
        <f>('Human Resource'!L67*N11)+(J34*$C$12)</f>
        <v>2964452.2131446982</v>
      </c>
      <c r="L34" t="str">
        <f>"old " &amp;Semantics!B6 &amp;" salaries also continued"</f>
        <v>old Teacher salaries also continued</v>
      </c>
    </row>
    <row r="35" spans="1:12" x14ac:dyDescent="0.3">
      <c r="A35" s="109"/>
      <c r="B35" s="27" t="s">
        <v>18</v>
      </c>
      <c r="C35" s="30">
        <f>C33+C34</f>
        <v>1679734.800000001</v>
      </c>
      <c r="D35" s="30">
        <f t="shared" ref="D35:K35" si="19">D33+D34</f>
        <v>2150633.4760000021</v>
      </c>
      <c r="E35" s="30">
        <f t="shared" si="19"/>
        <v>2985614.9481004477</v>
      </c>
      <c r="F35" s="30">
        <f t="shared" si="19"/>
        <v>3812706.470398793</v>
      </c>
      <c r="G35" s="30">
        <f t="shared" si="19"/>
        <v>4426076.1984250918</v>
      </c>
      <c r="H35" s="30">
        <f t="shared" si="19"/>
        <v>3869121.4462265023</v>
      </c>
      <c r="I35" s="30">
        <f t="shared" si="19"/>
        <v>4532781.0304263467</v>
      </c>
      <c r="J35" s="30">
        <f t="shared" si="19"/>
        <v>5037093.3088258365</v>
      </c>
      <c r="K35" s="30">
        <f t="shared" si="19"/>
        <v>5685904.9268293297</v>
      </c>
      <c r="L35" t="str">
        <f>"old " &amp;Semantics!B6 &amp;" salaries also continued"</f>
        <v>old Teacher salaries also continued</v>
      </c>
    </row>
    <row r="36" spans="1:12" x14ac:dyDescent="0.3">
      <c r="A36" s="104" t="str">
        <f>Semantics!B7&amp;" Salary"</f>
        <v>Caregiver Salary</v>
      </c>
      <c r="B36" s="8" t="s">
        <v>13</v>
      </c>
      <c r="C36" s="7">
        <f>'Human Resource'!D114*F13</f>
        <v>758623.33333333395</v>
      </c>
      <c r="D36" s="7">
        <f>('Human Resource'!E114*G13)+(C36*$C$14)</f>
        <v>967187.25200000091</v>
      </c>
      <c r="E36" s="7">
        <f>('Human Resource'!F114*H13)+(D36*$C$14)</f>
        <v>1384973.2437546691</v>
      </c>
      <c r="F36" s="7">
        <f>('Human Resource'!G114*I13)+(E36*$C$14)</f>
        <v>1685536.9939512648</v>
      </c>
      <c r="G36" s="7">
        <f>('Human Resource'!H114*J13)+(F36*$C$14)</f>
        <v>1945630.1820647365</v>
      </c>
      <c r="H36" s="7">
        <f>('Human Resource'!I114*K13)+(G36*$C$14)</f>
        <v>1837641.3324330333</v>
      </c>
      <c r="I36" s="7">
        <f>('Human Resource'!J114*L13)+(H36*$C$14)</f>
        <v>2093752.7661510501</v>
      </c>
      <c r="J36" s="7">
        <f>('Human Resource'!K114*M13)+(I36*$C$14)</f>
        <v>2185825.5085928165</v>
      </c>
      <c r="K36" s="7">
        <f>('Human Resource'!L114*N13)+(J36*$C$14)</f>
        <v>2341715.1257286365</v>
      </c>
      <c r="L36" t="str">
        <f>"old " &amp;Semantics!B7 &amp;" salaries also continued"</f>
        <v>old Caregiver salaries also continued</v>
      </c>
    </row>
    <row r="37" spans="1:12" x14ac:dyDescent="0.3">
      <c r="A37" s="105"/>
      <c r="B37" s="8" t="s">
        <v>14</v>
      </c>
      <c r="C37" s="7">
        <f>'Human Resource'!D115*F13</f>
        <v>686729.86666666693</v>
      </c>
      <c r="D37" s="7">
        <f>('Human Resource'!E115*G13)+(C37*$C$14)</f>
        <v>883357.83200000064</v>
      </c>
      <c r="E37" s="7">
        <f>('Human Resource'!F115*H13)+(D37*$C$14)</f>
        <v>1184044.2697271113</v>
      </c>
      <c r="F37" s="7">
        <f>('Human Resource'!G115*I13)+(E37*$C$14)</f>
        <v>1595163.9224383943</v>
      </c>
      <c r="G37" s="7">
        <f>('Human Resource'!H115*J13)+(F37*$C$14)</f>
        <v>1862853.9886731328</v>
      </c>
      <c r="H37" s="7">
        <f>('Human Resource'!I115*K13)+(G37*$C$14)</f>
        <v>1491602.7026920964</v>
      </c>
      <c r="I37" s="7">
        <f>('Human Resource'!J115*L13)+(H37*$C$14)</f>
        <v>1806547.1902623172</v>
      </c>
      <c r="J37" s="7">
        <f>('Human Resource'!K115*M13)+(I37*$C$14)</f>
        <v>2148417.5710945311</v>
      </c>
      <c r="K37" s="7">
        <f>('Human Resource'!L115*N13)+(J37*$C$14)</f>
        <v>2550807.718287298</v>
      </c>
      <c r="L37" t="str">
        <f>"old " &amp;Semantics!B7 &amp;" salaries also continued"</f>
        <v>old Caregiver salaries also continued</v>
      </c>
    </row>
    <row r="38" spans="1:12" x14ac:dyDescent="0.3">
      <c r="A38" s="106"/>
      <c r="B38" s="8" t="s">
        <v>18</v>
      </c>
      <c r="C38" s="7">
        <f>C36+C37</f>
        <v>1445353.2000000009</v>
      </c>
      <c r="D38" s="7">
        <f t="shared" ref="D38:K38" si="20">D36+D37</f>
        <v>1850545.0840000017</v>
      </c>
      <c r="E38" s="7">
        <f t="shared" si="20"/>
        <v>2569017.5134817804</v>
      </c>
      <c r="F38" s="7">
        <f t="shared" si="20"/>
        <v>3280700.916389659</v>
      </c>
      <c r="G38" s="7">
        <f t="shared" si="20"/>
        <v>3808484.1707378691</v>
      </c>
      <c r="H38" s="7">
        <f t="shared" si="20"/>
        <v>3329244.0351251299</v>
      </c>
      <c r="I38" s="7">
        <f t="shared" si="20"/>
        <v>3900299.9564133673</v>
      </c>
      <c r="J38" s="7">
        <f t="shared" si="20"/>
        <v>4334243.0796873476</v>
      </c>
      <c r="K38" s="7">
        <f t="shared" si="20"/>
        <v>4892522.8440159345</v>
      </c>
      <c r="L38" t="str">
        <f>"old " &amp;Semantics!B7 &amp;" salaries also continued"</f>
        <v>old Caregiver salaries also continued</v>
      </c>
    </row>
    <row r="39" spans="1:12" x14ac:dyDescent="0.3">
      <c r="A39" s="107" t="s">
        <v>229</v>
      </c>
      <c r="B39" s="27" t="s">
        <v>13</v>
      </c>
      <c r="C39" s="30">
        <f>'Human Resource'!D130*F15</f>
        <v>99000</v>
      </c>
      <c r="D39" s="30">
        <f>('Human Resource'!E130*G15)+(C39*$C$16)</f>
        <v>108900</v>
      </c>
      <c r="E39" s="30">
        <f>('Human Resource'!F130*H15)+(D39*$C$16)</f>
        <v>119790.00000000001</v>
      </c>
      <c r="F39" s="30">
        <f>('Human Resource'!G130*I15)+(E39*$C$16)</f>
        <v>131769.00000000003</v>
      </c>
      <c r="G39" s="30">
        <f>('Human Resource'!H130*J15)+(F39*$C$16)</f>
        <v>144945.90000000005</v>
      </c>
      <c r="H39" s="30">
        <f>('Human Resource'!I130*K15)+(G39*$C$16)*0</f>
        <v>0</v>
      </c>
      <c r="I39" s="30">
        <f>('Human Resource'!J130*L15)+(H39*$C$16)</f>
        <v>0</v>
      </c>
      <c r="J39" s="30">
        <f>('Human Resource'!K130*M15)+(I39*$C$16)</f>
        <v>0</v>
      </c>
      <c r="K39" s="30">
        <f>('Human Resource'!L130*N15)+(J39*$C$16)</f>
        <v>0</v>
      </c>
      <c r="L39" t="s">
        <v>230</v>
      </c>
    </row>
    <row r="40" spans="1:12" x14ac:dyDescent="0.3">
      <c r="A40" s="108"/>
      <c r="B40" s="27" t="s">
        <v>14</v>
      </c>
      <c r="C40" s="30">
        <f>'Human Resource'!D131*F15</f>
        <v>99000</v>
      </c>
      <c r="D40" s="30">
        <f>('Human Resource'!E131*G15)+(C40*$C$15)</f>
        <v>108900</v>
      </c>
      <c r="E40" s="30">
        <f>('Human Resource'!F131*H15)+(D40*$C$15)</f>
        <v>119790.00000000001</v>
      </c>
      <c r="F40" s="30">
        <f>('Human Resource'!G131*I15)+(E40*$C$15)</f>
        <v>131769.00000000003</v>
      </c>
      <c r="G40" s="30">
        <f>('Human Resource'!H131*J15)+(F40*$C$15)</f>
        <v>144945.90000000005</v>
      </c>
      <c r="H40" s="30">
        <f>('Human Resource'!I131*K15)+(G40*$C$15)*0</f>
        <v>0</v>
      </c>
      <c r="I40" s="30">
        <f>('Human Resource'!J131*L15)+(H40*$C$15)</f>
        <v>0</v>
      </c>
      <c r="J40" s="30">
        <f>('Human Resource'!K131*M15)+(I40*$C$15)</f>
        <v>0</v>
      </c>
      <c r="K40" s="30">
        <f>('Human Resource'!L131*N15)+(J40*$C$15)</f>
        <v>0</v>
      </c>
      <c r="L40" t="s">
        <v>230</v>
      </c>
    </row>
    <row r="41" spans="1:12" x14ac:dyDescent="0.3">
      <c r="A41" s="109"/>
      <c r="B41" s="27" t="s">
        <v>18</v>
      </c>
      <c r="C41" s="30">
        <f>C39+C40</f>
        <v>198000</v>
      </c>
      <c r="D41" s="30">
        <f t="shared" ref="D41:K41" si="21">D39+D40</f>
        <v>217800</v>
      </c>
      <c r="E41" s="30">
        <f t="shared" si="21"/>
        <v>239580.00000000003</v>
      </c>
      <c r="F41" s="30">
        <f t="shared" si="21"/>
        <v>263538.00000000006</v>
      </c>
      <c r="G41" s="30">
        <f t="shared" si="21"/>
        <v>289891.8000000001</v>
      </c>
      <c r="H41" s="30">
        <f t="shared" si="21"/>
        <v>0</v>
      </c>
      <c r="I41" s="30">
        <f t="shared" si="21"/>
        <v>0</v>
      </c>
      <c r="J41" s="30">
        <f t="shared" si="21"/>
        <v>0</v>
      </c>
      <c r="K41" s="30">
        <f t="shared" si="21"/>
        <v>0</v>
      </c>
      <c r="L41" t="s">
        <v>230</v>
      </c>
    </row>
    <row r="42" spans="1:12" x14ac:dyDescent="0.3">
      <c r="A42" s="104" t="s">
        <v>64</v>
      </c>
      <c r="B42" s="8" t="s">
        <v>13</v>
      </c>
      <c r="C42" s="7">
        <f>'Classrooms &amp; Materials'!D181*E17</f>
        <v>1272600</v>
      </c>
      <c r="D42" s="7">
        <f>'Classrooms &amp; Materials'!E181*F17</f>
        <v>1336230</v>
      </c>
      <c r="E42" s="7">
        <f>'Classrooms &amp; Materials'!F181*G17</f>
        <v>1403041.5</v>
      </c>
      <c r="F42" s="7">
        <f>'Classrooms &amp; Materials'!G181*H17</f>
        <v>1517389.3822500003</v>
      </c>
      <c r="G42" s="7">
        <f>'Classrooms &amp; Materials'!H181*I17</f>
        <v>1641056.6169033754</v>
      </c>
      <c r="H42" s="7">
        <f>'Classrooms &amp; Materials'!I181*J17</f>
        <v>1774802.7311810008</v>
      </c>
      <c r="I42" s="7">
        <f>'Classrooms &amp; Materials'!J181*K17</f>
        <v>1919449.1537722524</v>
      </c>
      <c r="J42" s="7">
        <f>'Classrooms &amp; Materials'!K181*L17</f>
        <v>2075884.259804691</v>
      </c>
      <c r="K42" s="7">
        <f>'Classrooms &amp; Materials'!L181*M17</f>
        <v>2245068.8269787738</v>
      </c>
    </row>
    <row r="43" spans="1:12" x14ac:dyDescent="0.3">
      <c r="A43" s="105"/>
      <c r="B43" s="8" t="s">
        <v>14</v>
      </c>
      <c r="C43" s="7">
        <f>'Classrooms &amp; Materials'!D182*E17</f>
        <v>1713600</v>
      </c>
      <c r="D43" s="7">
        <f>'Classrooms &amp; Materials'!E182*F17</f>
        <v>1799280</v>
      </c>
      <c r="E43" s="7">
        <f>'Classrooms &amp; Materials'!F182*G17</f>
        <v>1889243.9999999998</v>
      </c>
      <c r="F43" s="7">
        <f>'Classrooms &amp; Materials'!G182*H17</f>
        <v>2043217.3860000002</v>
      </c>
      <c r="G43" s="7">
        <f>'Classrooms &amp; Materials'!H182*I17</f>
        <v>2209739.602959</v>
      </c>
      <c r="H43" s="7">
        <f>'Classrooms &amp; Materials'!I182*J17</f>
        <v>2389833.3806001591</v>
      </c>
      <c r="I43" s="7">
        <f>'Classrooms &amp; Materials'!J182*K17</f>
        <v>2584604.8011190719</v>
      </c>
      <c r="J43" s="7">
        <f>'Classrooms &amp; Materials'!K182*L17</f>
        <v>2795250.0924102762</v>
      </c>
      <c r="K43" s="7">
        <f>'Classrooms &amp; Materials'!L182*M17</f>
        <v>3023062.9749417137</v>
      </c>
    </row>
    <row r="44" spans="1:12" x14ac:dyDescent="0.3">
      <c r="A44" s="106"/>
      <c r="B44" s="8" t="s">
        <v>18</v>
      </c>
      <c r="C44" s="7">
        <f>C42+C43</f>
        <v>2986200</v>
      </c>
      <c r="D44" s="7">
        <f t="shared" ref="D44:K44" si="22">D42+D43</f>
        <v>3135510</v>
      </c>
      <c r="E44" s="7">
        <f t="shared" si="22"/>
        <v>3292285.5</v>
      </c>
      <c r="F44" s="7">
        <f t="shared" si="22"/>
        <v>3560606.7682500007</v>
      </c>
      <c r="G44" s="7">
        <f t="shared" si="22"/>
        <v>3850796.2198623754</v>
      </c>
      <c r="H44" s="7">
        <f t="shared" si="22"/>
        <v>4164636.1117811599</v>
      </c>
      <c r="I44" s="7">
        <f t="shared" si="22"/>
        <v>4504053.954891324</v>
      </c>
      <c r="J44" s="7">
        <f t="shared" si="22"/>
        <v>4871134.3522149669</v>
      </c>
      <c r="K44" s="7">
        <f t="shared" si="22"/>
        <v>5268131.8019204875</v>
      </c>
    </row>
    <row r="45" spans="1:12" x14ac:dyDescent="0.3">
      <c r="A45" s="98" t="s">
        <v>71</v>
      </c>
      <c r="B45" s="27" t="s">
        <v>13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</row>
    <row r="46" spans="1:12" x14ac:dyDescent="0.3">
      <c r="A46" s="99"/>
      <c r="B46" s="27" t="s">
        <v>14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</row>
    <row r="47" spans="1:12" x14ac:dyDescent="0.3">
      <c r="A47" s="100"/>
      <c r="B47" s="27" t="s">
        <v>18</v>
      </c>
      <c r="C47" s="30">
        <f>C45+C46</f>
        <v>0</v>
      </c>
      <c r="D47" s="30">
        <f t="shared" ref="D47:K47" si="23">D45+D46</f>
        <v>0</v>
      </c>
      <c r="E47" s="30">
        <f t="shared" si="23"/>
        <v>0</v>
      </c>
      <c r="F47" s="30">
        <f t="shared" si="23"/>
        <v>0</v>
      </c>
      <c r="G47" s="30">
        <f t="shared" si="23"/>
        <v>0</v>
      </c>
      <c r="H47" s="30">
        <f t="shared" si="23"/>
        <v>0</v>
      </c>
      <c r="I47" s="30">
        <f t="shared" si="23"/>
        <v>0</v>
      </c>
      <c r="J47" s="30">
        <f t="shared" si="23"/>
        <v>0</v>
      </c>
      <c r="K47" s="30">
        <f t="shared" si="23"/>
        <v>0</v>
      </c>
    </row>
    <row r="48" spans="1:12" x14ac:dyDescent="0.3">
      <c r="A48" s="101" t="s">
        <v>90</v>
      </c>
      <c r="B48" s="32" t="s">
        <v>13</v>
      </c>
      <c r="C48" s="32">
        <f t="shared" ref="C48:K48" si="24">C24+C27+C30+C33+C36+C42+C45</f>
        <v>6877917.3966666711</v>
      </c>
      <c r="D48" s="32">
        <f t="shared" si="24"/>
        <v>7879666.7352440068</v>
      </c>
      <c r="E48" s="32">
        <f t="shared" si="24"/>
        <v>10281190.719597146</v>
      </c>
      <c r="F48" s="32">
        <f t="shared" si="24"/>
        <v>11829329.752525849</v>
      </c>
      <c r="G48" s="32">
        <f t="shared" si="24"/>
        <v>13121939.274418991</v>
      </c>
      <c r="H48" s="32">
        <f t="shared" si="24"/>
        <v>11446406.084784038</v>
      </c>
      <c r="I48" s="32">
        <f t="shared" si="24"/>
        <v>12768649.196342241</v>
      </c>
      <c r="J48" s="32">
        <f t="shared" si="24"/>
        <v>13059832.777921198</v>
      </c>
      <c r="K48" s="32">
        <f t="shared" si="24"/>
        <v>13734614.965396628</v>
      </c>
    </row>
    <row r="49" spans="1:11" x14ac:dyDescent="0.3">
      <c r="A49" s="102"/>
      <c r="B49" s="32" t="s">
        <v>14</v>
      </c>
      <c r="C49" s="32">
        <f t="shared" ref="C49:K49" si="25">C25+C28+C31+C34+C37+C43+C46</f>
        <v>6576919.7637333348</v>
      </c>
      <c r="D49" s="32">
        <f t="shared" si="25"/>
        <v>7685708.4342640042</v>
      </c>
      <c r="E49" s="32">
        <f t="shared" si="25"/>
        <v>9398609.405799726</v>
      </c>
      <c r="F49" s="32">
        <f t="shared" si="25"/>
        <v>11707695.927272737</v>
      </c>
      <c r="G49" s="32">
        <f t="shared" si="25"/>
        <v>13050897.354874767</v>
      </c>
      <c r="H49" s="32">
        <f t="shared" si="25"/>
        <v>10179828.551377486</v>
      </c>
      <c r="I49" s="32">
        <f t="shared" si="25"/>
        <v>12010910.925439246</v>
      </c>
      <c r="J49" s="32">
        <f t="shared" si="25"/>
        <v>13693261.388260903</v>
      </c>
      <c r="K49" s="32">
        <f t="shared" si="25"/>
        <v>15564720.810379267</v>
      </c>
    </row>
    <row r="50" spans="1:11" x14ac:dyDescent="0.3">
      <c r="A50" s="103"/>
      <c r="B50" s="32" t="s">
        <v>18</v>
      </c>
      <c r="C50" s="32">
        <f>C48+C49</f>
        <v>13454837.160400007</v>
      </c>
      <c r="D50" s="32">
        <f t="shared" ref="D50:K50" si="26">D48+D49</f>
        <v>15565375.16950801</v>
      </c>
      <c r="E50" s="32">
        <f t="shared" si="26"/>
        <v>19679800.12539687</v>
      </c>
      <c r="F50" s="32">
        <f t="shared" si="26"/>
        <v>23537025.679798588</v>
      </c>
      <c r="G50" s="32">
        <f t="shared" si="26"/>
        <v>26172836.629293758</v>
      </c>
      <c r="H50" s="32">
        <f t="shared" si="26"/>
        <v>21626234.636161525</v>
      </c>
      <c r="I50" s="32">
        <f t="shared" si="26"/>
        <v>24779560.121781487</v>
      </c>
      <c r="J50" s="32">
        <f t="shared" si="26"/>
        <v>26753094.166182101</v>
      </c>
      <c r="K50" s="32">
        <f t="shared" si="26"/>
        <v>29299335.775775895</v>
      </c>
    </row>
    <row r="52" spans="1:11" x14ac:dyDescent="0.3">
      <c r="A52" s="3" t="s">
        <v>140</v>
      </c>
      <c r="B52" s="3"/>
    </row>
    <row r="53" spans="1:11" x14ac:dyDescent="0.3"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0" t="s">
        <v>131</v>
      </c>
      <c r="B54" s="10" t="s">
        <v>97</v>
      </c>
      <c r="C54" s="20">
        <f>Inputs!$F$5+1</f>
        <v>2022</v>
      </c>
      <c r="D54" s="20">
        <f>C54+1</f>
        <v>2023</v>
      </c>
      <c r="E54" s="20">
        <f t="shared" ref="E54:K54" si="27">D54+1</f>
        <v>2024</v>
      </c>
      <c r="F54" s="20">
        <f t="shared" si="27"/>
        <v>2025</v>
      </c>
      <c r="G54" s="20">
        <f t="shared" si="27"/>
        <v>2026</v>
      </c>
      <c r="H54" s="20">
        <f t="shared" si="27"/>
        <v>2027</v>
      </c>
      <c r="I54" s="20">
        <f t="shared" si="27"/>
        <v>2028</v>
      </c>
      <c r="J54" s="20">
        <f t="shared" si="27"/>
        <v>2029</v>
      </c>
      <c r="K54" s="20">
        <f t="shared" si="27"/>
        <v>2030</v>
      </c>
    </row>
    <row r="55" spans="1:11" x14ac:dyDescent="0.3">
      <c r="A55" s="10" t="str">
        <f>'Supporting Strategies'!A8</f>
        <v>Provision of WASH Facilities (toilets)</v>
      </c>
      <c r="B55" s="68" t="str">
        <f>Semantics!B16</f>
        <v>Development Budget</v>
      </c>
      <c r="C55" s="7">
        <f>'Supporting Strategies'!D8*'Supporting Strategies'!D29</f>
        <v>450000</v>
      </c>
      <c r="D55" s="7">
        <f>'Supporting Strategies'!E8*'Supporting Strategies'!E29</f>
        <v>450000</v>
      </c>
      <c r="E55" s="7">
        <f>'Supporting Strategies'!F8*'Supporting Strategies'!F29</f>
        <v>472500</v>
      </c>
      <c r="F55" s="7">
        <f>'Supporting Strategies'!G8*'Supporting Strategies'!G29</f>
        <v>496125</v>
      </c>
      <c r="G55" s="7">
        <f>'Supporting Strategies'!H8*'Supporting Strategies'!H29</f>
        <v>520931.25</v>
      </c>
      <c r="H55" s="7">
        <f>'Supporting Strategies'!I8*'Supporting Strategies'!I29</f>
        <v>546977.8125</v>
      </c>
      <c r="I55" s="7">
        <f>'Supporting Strategies'!J8*'Supporting Strategies'!J29</f>
        <v>574326.70312500012</v>
      </c>
      <c r="J55" s="7">
        <f>'Supporting Strategies'!K8*'Supporting Strategies'!K29</f>
        <v>603043.03828125016</v>
      </c>
      <c r="K55" s="7">
        <f>'Supporting Strategies'!L8*'Supporting Strategies'!L29</f>
        <v>633195.19019531261</v>
      </c>
    </row>
    <row r="56" spans="1:11" x14ac:dyDescent="0.3">
      <c r="A56" s="10" t="str">
        <f>'Supporting Strategies'!A9</f>
        <v>Provision of WASH Facilities (taps)</v>
      </c>
      <c r="B56" s="68" t="str">
        <f>Semantics!B16</f>
        <v>Development Budget</v>
      </c>
      <c r="C56" s="7">
        <f>'Supporting Strategies'!D9*'Supporting Strategies'!D30</f>
        <v>7500</v>
      </c>
      <c r="D56" s="7">
        <f>'Supporting Strategies'!E9*'Supporting Strategies'!E30</f>
        <v>7500</v>
      </c>
      <c r="E56" s="7">
        <f>'Supporting Strategies'!F9*'Supporting Strategies'!F30</f>
        <v>7875</v>
      </c>
      <c r="F56" s="7">
        <f>'Supporting Strategies'!G9*'Supporting Strategies'!G30</f>
        <v>8268.75</v>
      </c>
      <c r="G56" s="7">
        <f>'Supporting Strategies'!H9*'Supporting Strategies'!H30</f>
        <v>8682.1875000000018</v>
      </c>
      <c r="H56" s="7">
        <f>'Supporting Strategies'!I9*'Supporting Strategies'!I30</f>
        <v>9116.2968750000018</v>
      </c>
      <c r="I56" s="7">
        <f>'Supporting Strategies'!J9*'Supporting Strategies'!J30</f>
        <v>9572.1117187500022</v>
      </c>
      <c r="J56" s="7">
        <f>'Supporting Strategies'!K9*'Supporting Strategies'!K30</f>
        <v>10050.717304687503</v>
      </c>
      <c r="K56" s="7">
        <f>'Supporting Strategies'!L9*'Supporting Strategies'!L30</f>
        <v>10553.253169921878</v>
      </c>
    </row>
    <row r="57" spans="1:11" x14ac:dyDescent="0.3">
      <c r="A57" s="10" t="str">
        <f>'Supporting Strategies'!A10</f>
        <v>Provision of ECE Furniture</v>
      </c>
      <c r="B57" s="68" t="str">
        <f>Semantics!B16</f>
        <v>Development Budget</v>
      </c>
      <c r="C57" s="7">
        <f>'Supporting Strategies'!D10*'Supporting Strategies'!D31</f>
        <v>150000</v>
      </c>
      <c r="D57" s="7">
        <f>'Supporting Strategies'!E10*'Supporting Strategies'!E31</f>
        <v>150000</v>
      </c>
      <c r="E57" s="7">
        <f>'Supporting Strategies'!F10*'Supporting Strategies'!F31</f>
        <v>157500</v>
      </c>
      <c r="F57" s="7">
        <f>'Supporting Strategies'!G10*'Supporting Strategies'!G31</f>
        <v>165375</v>
      </c>
      <c r="G57" s="7">
        <f>'Supporting Strategies'!H10*'Supporting Strategies'!H31</f>
        <v>173643.75</v>
      </c>
      <c r="H57" s="7">
        <f>'Supporting Strategies'!I10*'Supporting Strategies'!I31</f>
        <v>182325.93750000003</v>
      </c>
      <c r="I57" s="7">
        <f>'Supporting Strategies'!J10*'Supporting Strategies'!J31</f>
        <v>191442.23437500003</v>
      </c>
      <c r="J57" s="7">
        <f>'Supporting Strategies'!K10*'Supporting Strategies'!K31</f>
        <v>201014.34609375003</v>
      </c>
      <c r="K57" s="7">
        <f>'Supporting Strategies'!L10*'Supporting Strategies'!L31</f>
        <v>211065.06339843757</v>
      </c>
    </row>
    <row r="58" spans="1:11" x14ac:dyDescent="0.3">
      <c r="A58" s="10" t="str">
        <f>'Supporting Strategies'!A11</f>
        <v>Development of ECE Curriculum</v>
      </c>
      <c r="B58" s="68" t="str">
        <f>Semantics!B15</f>
        <v>Non-Salary Budget</v>
      </c>
      <c r="C58" s="7">
        <f>'Supporting Strategies'!D11*'Supporting Strategies'!D32</f>
        <v>19250</v>
      </c>
      <c r="D58" s="7">
        <f>'Supporting Strategies'!E11*'Supporting Strategies'!E32</f>
        <v>0</v>
      </c>
      <c r="E58" s="7">
        <f>'Supporting Strategies'!F11*'Supporting Strategies'!F32</f>
        <v>0</v>
      </c>
      <c r="F58" s="7">
        <f>'Supporting Strategies'!G11*'Supporting Strategies'!G32</f>
        <v>0</v>
      </c>
      <c r="G58" s="7">
        <f>'Supporting Strategies'!H11*'Supporting Strategies'!H32</f>
        <v>0</v>
      </c>
      <c r="H58" s="7">
        <f>'Supporting Strategies'!I11*'Supporting Strategies'!I32</f>
        <v>0</v>
      </c>
      <c r="I58" s="7">
        <f>'Supporting Strategies'!J11*'Supporting Strategies'!J32</f>
        <v>0</v>
      </c>
      <c r="J58" s="7">
        <f>'Supporting Strategies'!K11*'Supporting Strategies'!K32</f>
        <v>0</v>
      </c>
      <c r="K58" s="7">
        <f>'Supporting Strategies'!L11*'Supporting Strategies'!L32</f>
        <v>0</v>
      </c>
    </row>
    <row r="59" spans="1:11" x14ac:dyDescent="0.3">
      <c r="A59" s="10" t="str">
        <f>'Supporting Strategies'!A12</f>
        <v>Training of ECE Teachers (pre-service)</v>
      </c>
      <c r="B59" s="68" t="str">
        <f>Semantics!B15</f>
        <v>Non-Salary Budget</v>
      </c>
      <c r="C59" s="7">
        <f>'Supporting Strategies'!D12*'Supporting Strategies'!D33</f>
        <v>50000</v>
      </c>
      <c r="D59" s="7">
        <f>'Supporting Strategies'!E12*'Supporting Strategies'!E33</f>
        <v>50000</v>
      </c>
      <c r="E59" s="7">
        <f>'Supporting Strategies'!F12*'Supporting Strategies'!F33</f>
        <v>52500</v>
      </c>
      <c r="F59" s="7">
        <f>'Supporting Strategies'!G12*'Supporting Strategies'!G33</f>
        <v>55125</v>
      </c>
      <c r="G59" s="7">
        <f>'Supporting Strategies'!H12*'Supporting Strategies'!H33</f>
        <v>57881.25</v>
      </c>
      <c r="H59" s="7">
        <f>'Supporting Strategies'!I12*'Supporting Strategies'!I33</f>
        <v>60775.312500000007</v>
      </c>
      <c r="I59" s="7">
        <f>'Supporting Strategies'!J12*'Supporting Strategies'!J33</f>
        <v>63814.078125000007</v>
      </c>
      <c r="J59" s="7">
        <f>'Supporting Strategies'!K12*'Supporting Strategies'!K33</f>
        <v>67004.782031250012</v>
      </c>
      <c r="K59" s="7">
        <f>'Supporting Strategies'!L12*'Supporting Strategies'!L33</f>
        <v>70355.02113281253</v>
      </c>
    </row>
    <row r="60" spans="1:11" x14ac:dyDescent="0.3">
      <c r="A60" s="10" t="str">
        <f>'Supporting Strategies'!A13</f>
        <v>Training of ECE Teachers (in-service)</v>
      </c>
      <c r="B60" s="68" t="str">
        <f>Semantics!B15</f>
        <v>Non-Salary Budget</v>
      </c>
      <c r="C60" s="7">
        <f>'Supporting Strategies'!D13*'Supporting Strategies'!D34</f>
        <v>125000</v>
      </c>
      <c r="D60" s="7">
        <f>'Supporting Strategies'!E13*'Supporting Strategies'!E34</f>
        <v>125000</v>
      </c>
      <c r="E60" s="7">
        <f>'Supporting Strategies'!F13*'Supporting Strategies'!F34</f>
        <v>131250</v>
      </c>
      <c r="F60" s="7">
        <f>'Supporting Strategies'!G13*'Supporting Strategies'!G34</f>
        <v>137812.5</v>
      </c>
      <c r="G60" s="7">
        <f>'Supporting Strategies'!H13*'Supporting Strategies'!H34</f>
        <v>144703.125</v>
      </c>
      <c r="H60" s="7">
        <f>'Supporting Strategies'!I13*'Supporting Strategies'!I34</f>
        <v>151938.28125</v>
      </c>
      <c r="I60" s="7">
        <f>'Supporting Strategies'!J13*'Supporting Strategies'!J34</f>
        <v>159535.19531250003</v>
      </c>
      <c r="J60" s="7">
        <f>'Supporting Strategies'!K13*'Supporting Strategies'!K34</f>
        <v>167511.95507812503</v>
      </c>
      <c r="K60" s="7">
        <f>'Supporting Strategies'!L13*'Supporting Strategies'!L34</f>
        <v>175887.5528320313</v>
      </c>
    </row>
    <row r="61" spans="1:11" x14ac:dyDescent="0.3">
      <c r="A61" s="10" t="str">
        <f>'Supporting Strategies'!A14</f>
        <v>Training of ECE Caregivers</v>
      </c>
      <c r="B61" s="68" t="str">
        <f>Semantics!B15</f>
        <v>Non-Salary Budget</v>
      </c>
      <c r="C61" s="7">
        <f>'Supporting Strategies'!D14*'Supporting Strategies'!D35</f>
        <v>25000</v>
      </c>
      <c r="D61" s="7">
        <f>'Supporting Strategies'!E14*'Supporting Strategies'!E35</f>
        <v>25000</v>
      </c>
      <c r="E61" s="7">
        <f>'Supporting Strategies'!F14*'Supporting Strategies'!F35</f>
        <v>26250</v>
      </c>
      <c r="F61" s="7">
        <f>'Supporting Strategies'!G14*'Supporting Strategies'!G35</f>
        <v>27562.5</v>
      </c>
      <c r="G61" s="7">
        <f>'Supporting Strategies'!H14*'Supporting Strategies'!H35</f>
        <v>28940.625</v>
      </c>
      <c r="H61" s="7">
        <f>'Supporting Strategies'!I14*'Supporting Strategies'!I35</f>
        <v>30387.656250000004</v>
      </c>
      <c r="I61" s="7">
        <f>'Supporting Strategies'!J14*'Supporting Strategies'!J35</f>
        <v>31907.039062500004</v>
      </c>
      <c r="J61" s="7">
        <f>'Supporting Strategies'!K14*'Supporting Strategies'!K35</f>
        <v>33502.391015625006</v>
      </c>
      <c r="K61" s="7">
        <f>'Supporting Strategies'!L14*'Supporting Strategies'!L35</f>
        <v>35177.510566406265</v>
      </c>
    </row>
    <row r="62" spans="1:11" x14ac:dyDescent="0.3">
      <c r="A62" s="10" t="str">
        <f>'Supporting Strategies'!A15</f>
        <v>School Meals</v>
      </c>
      <c r="B62" s="68" t="str">
        <f>Semantics!B15</f>
        <v>Non-Salary Budget</v>
      </c>
      <c r="C62" s="7">
        <f>'Supporting Strategies'!D15*'Supporting Strategies'!D36</f>
        <v>3600000</v>
      </c>
      <c r="D62" s="7">
        <f>'Supporting Strategies'!E15*'Supporting Strategies'!E36</f>
        <v>3600000</v>
      </c>
      <c r="E62" s="7">
        <f>'Supporting Strategies'!F15*'Supporting Strategies'!F36</f>
        <v>3780000</v>
      </c>
      <c r="F62" s="7">
        <f>'Supporting Strategies'!G15*'Supporting Strategies'!G36</f>
        <v>3969000</v>
      </c>
      <c r="G62" s="7">
        <f>'Supporting Strategies'!H15*'Supporting Strategies'!H36</f>
        <v>4167450</v>
      </c>
      <c r="H62" s="7">
        <f>'Supporting Strategies'!I15*'Supporting Strategies'!I36</f>
        <v>4375822.5</v>
      </c>
      <c r="I62" s="7">
        <f>'Supporting Strategies'!J15*'Supporting Strategies'!J36</f>
        <v>4594613.6250000009</v>
      </c>
      <c r="J62" s="7">
        <f>'Supporting Strategies'!K15*'Supporting Strategies'!K36</f>
        <v>4824344.3062500013</v>
      </c>
      <c r="K62" s="7">
        <f>'Supporting Strategies'!L15*'Supporting Strategies'!L36</f>
        <v>5065561.5215625018</v>
      </c>
    </row>
    <row r="63" spans="1:11" x14ac:dyDescent="0.3">
      <c r="A63" s="10" t="str">
        <f>'Supporting Strategies'!A16</f>
        <v>Monitoring and Evaluation</v>
      </c>
      <c r="B63" s="68" t="str">
        <f>Semantics!B15</f>
        <v>Non-Salary Budget</v>
      </c>
      <c r="C63" s="7">
        <f>'Supporting Strategies'!D16*'Supporting Strategies'!D37</f>
        <v>222000</v>
      </c>
      <c r="D63" s="7">
        <f>'Supporting Strategies'!E16*'Supporting Strategies'!E37</f>
        <v>222000</v>
      </c>
      <c r="E63" s="7">
        <f>'Supporting Strategies'!F16*'Supporting Strategies'!F37</f>
        <v>233100</v>
      </c>
      <c r="F63" s="7">
        <f>'Supporting Strategies'!G16*'Supporting Strategies'!G37</f>
        <v>244755.00000000003</v>
      </c>
      <c r="G63" s="7">
        <f>'Supporting Strategies'!H16*'Supporting Strategies'!H37</f>
        <v>256992.75000000003</v>
      </c>
      <c r="H63" s="7">
        <f>'Supporting Strategies'!I16*'Supporting Strategies'!I37</f>
        <v>269842.38750000007</v>
      </c>
      <c r="I63" s="7">
        <f>'Supporting Strategies'!J16*'Supporting Strategies'!J37</f>
        <v>283334.50687500002</v>
      </c>
      <c r="J63" s="7">
        <f>'Supporting Strategies'!K16*'Supporting Strategies'!K37</f>
        <v>297501.23221875005</v>
      </c>
      <c r="K63" s="7">
        <f>'Supporting Strategies'!L16*'Supporting Strategies'!L37</f>
        <v>312376.29382968758</v>
      </c>
    </row>
    <row r="64" spans="1:11" x14ac:dyDescent="0.3">
      <c r="A64" s="10" t="str">
        <f>'Supporting Strategies'!A17</f>
        <v>Capacity Building of Parents</v>
      </c>
      <c r="B64" s="68" t="s">
        <v>93</v>
      </c>
      <c r="C64" s="7">
        <f>'Supporting Strategies'!D17*'Supporting Strategies'!D38</f>
        <v>262500</v>
      </c>
      <c r="D64" s="7">
        <f>'Supporting Strategies'!E17*'Supporting Strategies'!E38</f>
        <v>275625</v>
      </c>
      <c r="E64" s="7">
        <f>'Supporting Strategies'!F17*'Supporting Strategies'!F38</f>
        <v>289406.25</v>
      </c>
      <c r="F64" s="7">
        <f>'Supporting Strategies'!G17*'Supporting Strategies'!G38</f>
        <v>303876.5625</v>
      </c>
      <c r="G64" s="7">
        <f>'Supporting Strategies'!H17*'Supporting Strategies'!H38</f>
        <v>319070.39062500006</v>
      </c>
      <c r="H64" s="7">
        <f>'Supporting Strategies'!I17*'Supporting Strategies'!I38</f>
        <v>335023.91015625006</v>
      </c>
      <c r="I64" s="7">
        <f>'Supporting Strategies'!J17*'Supporting Strategies'!J38</f>
        <v>351775.1056640626</v>
      </c>
      <c r="J64" s="7">
        <f>'Supporting Strategies'!K17*'Supporting Strategies'!K38</f>
        <v>369363.86094726581</v>
      </c>
      <c r="K64" s="7">
        <f>'Supporting Strategies'!L17*'Supporting Strategies'!L38</f>
        <v>387832.05399462907</v>
      </c>
    </row>
    <row r="65" spans="1:11" x14ac:dyDescent="0.3">
      <c r="A65" s="26" t="str">
        <f>'Supporting Strategies'!A18</f>
        <v>Add additional strategies</v>
      </c>
      <c r="B65" s="68"/>
      <c r="C65" s="7">
        <f>'Supporting Strategies'!D18*'Supporting Strategies'!D39</f>
        <v>0</v>
      </c>
      <c r="D65" s="7">
        <f>'Supporting Strategies'!E18*'Supporting Strategies'!E39</f>
        <v>0</v>
      </c>
      <c r="E65" s="7">
        <f>'Supporting Strategies'!F18*'Supporting Strategies'!F39</f>
        <v>0</v>
      </c>
      <c r="F65" s="7">
        <f>'Supporting Strategies'!G18*'Supporting Strategies'!G39</f>
        <v>0</v>
      </c>
      <c r="G65" s="7">
        <f>'Supporting Strategies'!H18*'Supporting Strategies'!H39</f>
        <v>0</v>
      </c>
      <c r="H65" s="7">
        <f>'Supporting Strategies'!I18*'Supporting Strategies'!I39</f>
        <v>0</v>
      </c>
      <c r="I65" s="7">
        <f>'Supporting Strategies'!J18*'Supporting Strategies'!J39</f>
        <v>0</v>
      </c>
      <c r="J65" s="7">
        <f>'Supporting Strategies'!K18*'Supporting Strategies'!K39</f>
        <v>0</v>
      </c>
      <c r="K65" s="7">
        <f>'Supporting Strategies'!L18*'Supporting Strategies'!L39</f>
        <v>0</v>
      </c>
    </row>
    <row r="66" spans="1:11" x14ac:dyDescent="0.3">
      <c r="A66" s="26" t="str">
        <f>'Supporting Strategies'!A19</f>
        <v>Add additional strategies</v>
      </c>
      <c r="B66" s="68"/>
      <c r="C66" s="7">
        <f>'Supporting Strategies'!D19*'Supporting Strategies'!D40</f>
        <v>0</v>
      </c>
      <c r="D66" s="7">
        <f>'Supporting Strategies'!E19*'Supporting Strategies'!E40</f>
        <v>0</v>
      </c>
      <c r="E66" s="7">
        <f>'Supporting Strategies'!F19*'Supporting Strategies'!F40</f>
        <v>0</v>
      </c>
      <c r="F66" s="7">
        <f>'Supporting Strategies'!G19*'Supporting Strategies'!G40</f>
        <v>0</v>
      </c>
      <c r="G66" s="7">
        <f>'Supporting Strategies'!H19*'Supporting Strategies'!H40</f>
        <v>0</v>
      </c>
      <c r="H66" s="7">
        <f>'Supporting Strategies'!I19*'Supporting Strategies'!I40</f>
        <v>0</v>
      </c>
      <c r="I66" s="7">
        <f>'Supporting Strategies'!J19*'Supporting Strategies'!J40</f>
        <v>0</v>
      </c>
      <c r="J66" s="7">
        <f>'Supporting Strategies'!K19*'Supporting Strategies'!K40</f>
        <v>0</v>
      </c>
      <c r="K66" s="7">
        <f>'Supporting Strategies'!L19*'Supporting Strategies'!L40</f>
        <v>0</v>
      </c>
    </row>
    <row r="67" spans="1:11" x14ac:dyDescent="0.3">
      <c r="A67" s="26" t="str">
        <f>'Supporting Strategies'!A20</f>
        <v>Add additional strategies</v>
      </c>
      <c r="B67" s="68"/>
      <c r="C67" s="7">
        <f>'Supporting Strategies'!D20*'Supporting Strategies'!D41</f>
        <v>0</v>
      </c>
      <c r="D67" s="7">
        <f>'Supporting Strategies'!E20*'Supporting Strategies'!E41</f>
        <v>0</v>
      </c>
      <c r="E67" s="7">
        <f>'Supporting Strategies'!F20*'Supporting Strategies'!F41</f>
        <v>0</v>
      </c>
      <c r="F67" s="7">
        <f>'Supporting Strategies'!G20*'Supporting Strategies'!G41</f>
        <v>0</v>
      </c>
      <c r="G67" s="7">
        <f>'Supporting Strategies'!H20*'Supporting Strategies'!H41</f>
        <v>0</v>
      </c>
      <c r="H67" s="7">
        <f>'Supporting Strategies'!I20*'Supporting Strategies'!I41</f>
        <v>0</v>
      </c>
      <c r="I67" s="7">
        <f>'Supporting Strategies'!J20*'Supporting Strategies'!J41</f>
        <v>0</v>
      </c>
      <c r="J67" s="7">
        <f>'Supporting Strategies'!K20*'Supporting Strategies'!K41</f>
        <v>0</v>
      </c>
      <c r="K67" s="7">
        <f>'Supporting Strategies'!L20*'Supporting Strategies'!L41</f>
        <v>0</v>
      </c>
    </row>
    <row r="68" spans="1:11" x14ac:dyDescent="0.3">
      <c r="A68" s="26" t="str">
        <f>'Supporting Strategies'!A21</f>
        <v>Add additional strategies</v>
      </c>
      <c r="B68" s="68"/>
      <c r="C68" s="7">
        <f>'Supporting Strategies'!D21*'Supporting Strategies'!D42</f>
        <v>0</v>
      </c>
      <c r="D68" s="7">
        <f>'Supporting Strategies'!E21*'Supporting Strategies'!E42</f>
        <v>0</v>
      </c>
      <c r="E68" s="7">
        <f>'Supporting Strategies'!F21*'Supporting Strategies'!F42</f>
        <v>0</v>
      </c>
      <c r="F68" s="7">
        <f>'Supporting Strategies'!G21*'Supporting Strategies'!G42</f>
        <v>0</v>
      </c>
      <c r="G68" s="7">
        <f>'Supporting Strategies'!H21*'Supporting Strategies'!H42</f>
        <v>0</v>
      </c>
      <c r="H68" s="7">
        <f>'Supporting Strategies'!I21*'Supporting Strategies'!I42</f>
        <v>0</v>
      </c>
      <c r="I68" s="7">
        <f>'Supporting Strategies'!J21*'Supporting Strategies'!J42</f>
        <v>0</v>
      </c>
      <c r="J68" s="7">
        <f>'Supporting Strategies'!K21*'Supporting Strategies'!K42</f>
        <v>0</v>
      </c>
      <c r="K68" s="7">
        <f>'Supporting Strategies'!L21*'Supporting Strategies'!L42</f>
        <v>0</v>
      </c>
    </row>
    <row r="69" spans="1:11" x14ac:dyDescent="0.3">
      <c r="A69" s="10" t="s">
        <v>142</v>
      </c>
      <c r="B69" s="16" t="s">
        <v>18</v>
      </c>
      <c r="C69" s="32">
        <f t="shared" ref="C69:K69" si="28">SUM(C55:C65)</f>
        <v>4911250</v>
      </c>
      <c r="D69" s="32">
        <f t="shared" si="28"/>
        <v>4905125</v>
      </c>
      <c r="E69" s="32">
        <f t="shared" si="28"/>
        <v>5150381.25</v>
      </c>
      <c r="F69" s="32">
        <f t="shared" si="28"/>
        <v>5407900.3125</v>
      </c>
      <c r="G69" s="32">
        <f t="shared" si="28"/>
        <v>5678295.328125</v>
      </c>
      <c r="H69" s="32">
        <f t="shared" si="28"/>
        <v>5962210.0945312502</v>
      </c>
      <c r="I69" s="32">
        <f t="shared" si="28"/>
        <v>6260320.5992578138</v>
      </c>
      <c r="J69" s="32">
        <f t="shared" si="28"/>
        <v>6573336.6292207055</v>
      </c>
      <c r="K69" s="32">
        <f t="shared" si="28"/>
        <v>6902003.4606817402</v>
      </c>
    </row>
  </sheetData>
  <sheetProtection algorithmName="SHA-512" hashValue="5YW1Z3DAWKGlnoPFfLeiQ0rdbsi5zVwX9cWzfodPPVLVimfm/wGRrTYP+1Bw3eyzoUA1vM53WmB/ok1AMXWTPQ==" saltValue="mzQdpN5R4Yu3JfWLACYtoQ==" spinCount="100000" sheet="1" objects="1" scenarios="1"/>
  <mergeCells count="9">
    <mergeCell ref="A45:A47"/>
    <mergeCell ref="A48:A50"/>
    <mergeCell ref="A24:A26"/>
    <mergeCell ref="A27:A29"/>
    <mergeCell ref="A30:A32"/>
    <mergeCell ref="A33:A35"/>
    <mergeCell ref="A36:A38"/>
    <mergeCell ref="A42:A44"/>
    <mergeCell ref="A39:A41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94A2-C7C0-4471-850C-CE20510DCF61}">
  <dimension ref="A1:M35"/>
  <sheetViews>
    <sheetView workbookViewId="0">
      <selection activeCell="F1" sqref="F1"/>
    </sheetView>
  </sheetViews>
  <sheetFormatPr defaultRowHeight="14.4" x14ac:dyDescent="0.3"/>
  <cols>
    <col min="1" max="1" width="24" customWidth="1"/>
    <col min="2" max="2" width="20.109375" bestFit="1" customWidth="1"/>
    <col min="3" max="11" width="12.33203125" bestFit="1" customWidth="1"/>
    <col min="12" max="12" width="15.33203125" bestFit="1" customWidth="1"/>
  </cols>
  <sheetData>
    <row r="1" spans="1:13" x14ac:dyDescent="0.3">
      <c r="A1" s="48" t="s">
        <v>201</v>
      </c>
      <c r="C1" s="2"/>
    </row>
    <row r="3" spans="1:13" x14ac:dyDescent="0.3">
      <c r="A3" s="62" t="s">
        <v>178</v>
      </c>
    </row>
    <row r="5" spans="1:13" x14ac:dyDescent="0.3">
      <c r="A5" s="3" t="s">
        <v>96</v>
      </c>
      <c r="B5" s="3"/>
      <c r="C5" s="3"/>
      <c r="H5" s="24"/>
      <c r="J5" s="24" t="s">
        <v>59</v>
      </c>
      <c r="K5" s="23" t="str">
        <f>Inputs!C89</f>
        <v>USD</v>
      </c>
    </row>
    <row r="7" spans="1:13" x14ac:dyDescent="0.3">
      <c r="A7" s="20" t="s">
        <v>56</v>
      </c>
      <c r="B7" s="20" t="s">
        <v>58</v>
      </c>
      <c r="C7" s="20">
        <f>Inputs!$F$5+1</f>
        <v>2022</v>
      </c>
      <c r="D7" s="20">
        <f>C7+1</f>
        <v>2023</v>
      </c>
      <c r="E7" s="20">
        <f t="shared" ref="E7:K7" si="0">D7+1</f>
        <v>2024</v>
      </c>
      <c r="F7" s="20">
        <f t="shared" si="0"/>
        <v>2025</v>
      </c>
      <c r="G7" s="20">
        <f t="shared" si="0"/>
        <v>2026</v>
      </c>
      <c r="H7" s="20">
        <f t="shared" si="0"/>
        <v>2027</v>
      </c>
      <c r="I7" s="20">
        <f t="shared" si="0"/>
        <v>2028</v>
      </c>
      <c r="J7" s="20">
        <f t="shared" si="0"/>
        <v>2029</v>
      </c>
      <c r="K7" s="20">
        <f t="shared" si="0"/>
        <v>2030</v>
      </c>
    </row>
    <row r="8" spans="1:13" x14ac:dyDescent="0.3">
      <c r="A8" s="10" t="str">
        <f>Semantics!B14</f>
        <v>Salary Budget</v>
      </c>
      <c r="B8" s="66">
        <f>Inputs!L111</f>
        <v>1.0939104356881835E-2</v>
      </c>
      <c r="C8" s="7">
        <f>Inputs!K111*(1+$B$8)</f>
        <v>129859297.06750783</v>
      </c>
      <c r="D8" s="7">
        <f>C8*(1+$B$8)</f>
        <v>131279841.46984062</v>
      </c>
      <c r="E8" s="7">
        <f t="shared" ref="E8:K8" si="1">D8*(1+$B$8)</f>
        <v>132715925.35563411</v>
      </c>
      <c r="F8" s="7">
        <f t="shared" si="1"/>
        <v>134167718.71291953</v>
      </c>
      <c r="G8" s="7">
        <f t="shared" si="1"/>
        <v>135635393.38924491</v>
      </c>
      <c r="H8" s="7">
        <f t="shared" si="1"/>
        <v>137119123.11201659</v>
      </c>
      <c r="I8" s="7">
        <f t="shared" si="1"/>
        <v>138619083.50906307</v>
      </c>
      <c r="J8" s="7">
        <f t="shared" si="1"/>
        <v>140135452.12942404</v>
      </c>
      <c r="K8" s="7">
        <f t="shared" si="1"/>
        <v>141668408.46436661</v>
      </c>
    </row>
    <row r="9" spans="1:13" x14ac:dyDescent="0.3">
      <c r="A9" s="10" t="str">
        <f>Semantics!B15</f>
        <v>Non-Salary Budget</v>
      </c>
      <c r="B9" s="66">
        <f>Inputs!L112</f>
        <v>1.3540479074544587E-2</v>
      </c>
      <c r="C9" s="7">
        <f>Inputs!K112*(1+B9)</f>
        <v>32580720.874309693</v>
      </c>
      <c r="D9" s="7">
        <f>C9*(1+$B$9)</f>
        <v>33021879.443541862</v>
      </c>
      <c r="E9" s="7">
        <f t="shared" ref="E9:K9" si="2">D9*(1+$B$9)</f>
        <v>33469011.511149276</v>
      </c>
      <c r="F9" s="7">
        <f t="shared" si="2"/>
        <v>33922197.961161688</v>
      </c>
      <c r="G9" s="7">
        <f t="shared" si="2"/>
        <v>34381520.772817358</v>
      </c>
      <c r="H9" s="7">
        <f t="shared" si="2"/>
        <v>34847063.035392709</v>
      </c>
      <c r="I9" s="7">
        <f t="shared" si="2"/>
        <v>35318908.963232778</v>
      </c>
      <c r="J9" s="7">
        <f t="shared" si="2"/>
        <v>35797143.910985179</v>
      </c>
      <c r="K9" s="7">
        <f t="shared" si="2"/>
        <v>36281854.389040336</v>
      </c>
    </row>
    <row r="10" spans="1:13" x14ac:dyDescent="0.3">
      <c r="A10" s="10" t="str">
        <f>Semantics!B16</f>
        <v>Development Budget</v>
      </c>
      <c r="B10" s="66">
        <f>Inputs!L113</f>
        <v>1.2347263958963683E-2</v>
      </c>
      <c r="C10" s="7">
        <f>Inputs!K113*(1+B10)</f>
        <v>40647914.132833585</v>
      </c>
      <c r="D10" s="7">
        <f>C10*(1+$B$10)</f>
        <v>41149804.658012971</v>
      </c>
      <c r="E10" s="7">
        <f t="shared" ref="E10:K10" si="3">D10*(1+$B$10)</f>
        <v>41657892.157985248</v>
      </c>
      <c r="F10" s="7">
        <f t="shared" si="3"/>
        <v>42172253.148433931</v>
      </c>
      <c r="G10" s="7">
        <f t="shared" si="3"/>
        <v>42692965.089801885</v>
      </c>
      <c r="H10" s="7">
        <f t="shared" si="3"/>
        <v>43220106.398956493</v>
      </c>
      <c r="I10" s="7">
        <f t="shared" si="3"/>
        <v>43753756.4609989</v>
      </c>
      <c r="J10" s="7">
        <f t="shared" si="3"/>
        <v>44293995.641219065</v>
      </c>
      <c r="K10" s="7">
        <f t="shared" si="3"/>
        <v>44840905.297198385</v>
      </c>
    </row>
    <row r="11" spans="1:13" x14ac:dyDescent="0.3">
      <c r="A11" s="10" t="s">
        <v>248</v>
      </c>
      <c r="B11" s="66">
        <f>Inputs!L114</f>
        <v>1.1631918561734178E-2</v>
      </c>
      <c r="C11" s="92">
        <f>SUM(C8:C10)</f>
        <v>203087932.07465112</v>
      </c>
      <c r="D11" s="92">
        <f t="shared" ref="D11" si="4">SUM(D8:D10)</f>
        <v>205451525.57139546</v>
      </c>
      <c r="E11" s="92">
        <f t="shared" ref="E11" si="5">SUM(E8:E10)</f>
        <v>207842829.02476862</v>
      </c>
      <c r="F11" s="92">
        <f t="shared" ref="F11" si="6">SUM(F8:F10)</f>
        <v>210262169.82251513</v>
      </c>
      <c r="G11" s="92">
        <f t="shared" ref="G11" si="7">SUM(G8:G10)</f>
        <v>212709879.25186417</v>
      </c>
      <c r="H11" s="92">
        <f t="shared" ref="H11" si="8">SUM(H8:H10)</f>
        <v>215186292.5463658</v>
      </c>
      <c r="I11" s="92">
        <f t="shared" ref="I11" si="9">SUM(I8:I10)</f>
        <v>217691748.93329474</v>
      </c>
      <c r="J11" s="92">
        <f t="shared" ref="J11" si="10">SUM(J8:J10)</f>
        <v>220226591.68162829</v>
      </c>
      <c r="K11" s="92">
        <f t="shared" ref="K11" si="11">SUM(K8:K10)</f>
        <v>222791168.15060535</v>
      </c>
    </row>
    <row r="12" spans="1:13" x14ac:dyDescent="0.3">
      <c r="A12" s="10" t="s">
        <v>249</v>
      </c>
      <c r="B12" s="66">
        <f>Inputs!L115</f>
        <v>7.9165263926210816E-3</v>
      </c>
      <c r="C12" s="7">
        <f>Inputs!K115*(1+B12)</f>
        <v>3103648049.2768354</v>
      </c>
      <c r="D12" s="7">
        <f>C12*(1+$B$12)</f>
        <v>3128218160.9723425</v>
      </c>
      <c r="E12" s="7">
        <f>D12*(1+$B$12)</f>
        <v>3152982782.6055565</v>
      </c>
      <c r="F12" s="7">
        <f t="shared" ref="F12:K12" si="12">E12*(1+$B$12)</f>
        <v>3177943454.0195332</v>
      </c>
      <c r="G12" s="7">
        <f t="shared" si="12"/>
        <v>3203101727.2475362</v>
      </c>
      <c r="H12" s="7">
        <f t="shared" si="12"/>
        <v>3228459166.6095414</v>
      </c>
      <c r="I12" s="7">
        <f t="shared" si="12"/>
        <v>3254017348.8095055</v>
      </c>
      <c r="J12" s="7">
        <f t="shared" si="12"/>
        <v>3279777863.0334029</v>
      </c>
      <c r="K12" s="7">
        <f t="shared" si="12"/>
        <v>3305742311.0480413</v>
      </c>
    </row>
    <row r="14" spans="1:13" x14ac:dyDescent="0.3">
      <c r="A14" s="3" t="s">
        <v>78</v>
      </c>
      <c r="B14" s="3"/>
      <c r="C14" s="3"/>
      <c r="M14" s="33"/>
    </row>
    <row r="16" spans="1:13" x14ac:dyDescent="0.3">
      <c r="A16" s="20" t="s">
        <v>56</v>
      </c>
      <c r="B16" s="20" t="s">
        <v>97</v>
      </c>
      <c r="C16" s="20">
        <f>Inputs!$F$5+1</f>
        <v>2022</v>
      </c>
      <c r="D16" s="20">
        <f>C16+1</f>
        <v>2023</v>
      </c>
      <c r="E16" s="20">
        <f t="shared" ref="E16:K16" si="13">D16+1</f>
        <v>2024</v>
      </c>
      <c r="F16" s="20">
        <f t="shared" si="13"/>
        <v>2025</v>
      </c>
      <c r="G16" s="20">
        <f t="shared" si="13"/>
        <v>2026</v>
      </c>
      <c r="H16" s="20">
        <f t="shared" si="13"/>
        <v>2027</v>
      </c>
      <c r="I16" s="20">
        <f t="shared" si="13"/>
        <v>2028</v>
      </c>
      <c r="J16" s="20">
        <f t="shared" si="13"/>
        <v>2029</v>
      </c>
      <c r="K16" s="20">
        <f t="shared" si="13"/>
        <v>2030</v>
      </c>
    </row>
    <row r="17" spans="1:11" x14ac:dyDescent="0.3">
      <c r="A17" s="35" t="str">
        <f>Semantics!B8&amp;" Construction"</f>
        <v>Classroom Construction</v>
      </c>
      <c r="B17" s="12" t="str">
        <f>Semantics!B16</f>
        <v>Development Budget</v>
      </c>
      <c r="C17" s="7">
        <f>Cost!C26</f>
        <v>5819843.6604000032</v>
      </c>
      <c r="D17" s="7">
        <f>Cost!D26</f>
        <v>6664434.3307080064</v>
      </c>
      <c r="E17" s="7">
        <f>Cost!E26</f>
        <v>8566876.0335690901</v>
      </c>
      <c r="F17" s="7">
        <f>Cost!F26</f>
        <v>10180418.990910638</v>
      </c>
      <c r="G17" s="7">
        <f>Cost!G26</f>
        <v>11124100.651708212</v>
      </c>
      <c r="H17" s="7">
        <f>Cost!H26</f>
        <v>7931399.5146773607</v>
      </c>
      <c r="I17" s="7">
        <f>Cost!I26</f>
        <v>9160296.160425812</v>
      </c>
      <c r="J17" s="7">
        <f>Cost!J26</f>
        <v>9667577.5958103165</v>
      </c>
      <c r="K17" s="7">
        <f>Cost!K26</f>
        <v>10432802.36716691</v>
      </c>
    </row>
    <row r="18" spans="1:11" x14ac:dyDescent="0.3">
      <c r="A18" s="42" t="str">
        <f>Semantics!B9</f>
        <v>ECE Kit</v>
      </c>
      <c r="B18" s="12" t="str">
        <f>Semantics!B15</f>
        <v>Non-Salary Budget</v>
      </c>
      <c r="C18" s="7">
        <f>Cost!C29</f>
        <v>206303.25000000017</v>
      </c>
      <c r="D18" s="7">
        <f>Cost!D29</f>
        <v>222297.92130000022</v>
      </c>
      <c r="E18" s="7">
        <f>Cost!E29</f>
        <v>229744.0767730503</v>
      </c>
      <c r="F18" s="7">
        <f>Cost!F29</f>
        <v>249407.37522807298</v>
      </c>
      <c r="G18" s="7">
        <f>Cost!G29</f>
        <v>271971.32420717389</v>
      </c>
      <c r="H18" s="7">
        <f>Cost!H29</f>
        <v>223104.95833793643</v>
      </c>
      <c r="I18" s="7">
        <f>Cost!I29</f>
        <v>246672.55478155281</v>
      </c>
      <c r="J18" s="7">
        <f>Cost!J29</f>
        <v>272717.97749327926</v>
      </c>
      <c r="K18" s="7">
        <f>Cost!K29</f>
        <v>246194.96160585131</v>
      </c>
    </row>
    <row r="19" spans="1:11" x14ac:dyDescent="0.3">
      <c r="A19" s="42" t="str">
        <f>Semantics!B10</f>
        <v>Reading Corner</v>
      </c>
      <c r="B19" s="12" t="str">
        <f>Semantics!B16</f>
        <v>Development Budget</v>
      </c>
      <c r="C19" s="7">
        <f>Cost!C32</f>
        <v>1317402.2500000009</v>
      </c>
      <c r="D19" s="7">
        <f>Cost!D32</f>
        <v>1541954.3575000013</v>
      </c>
      <c r="E19" s="7">
        <f>Cost!E32</f>
        <v>2036262.0534725017</v>
      </c>
      <c r="F19" s="7">
        <f>Cost!F32</f>
        <v>2453185.1586214248</v>
      </c>
      <c r="G19" s="7">
        <f>Cost!G32</f>
        <v>2691408.0643530348</v>
      </c>
      <c r="H19" s="7">
        <f>Cost!H32</f>
        <v>2108728.5700134356</v>
      </c>
      <c r="I19" s="7">
        <f>Cost!I32</f>
        <v>2435456.4648430855</v>
      </c>
      <c r="J19" s="7">
        <f>Cost!J32</f>
        <v>2570327.8521503545</v>
      </c>
      <c r="K19" s="7">
        <f>Cost!K32</f>
        <v>2773778.87423738</v>
      </c>
    </row>
    <row r="20" spans="1:11" x14ac:dyDescent="0.3">
      <c r="A20" s="35" t="str">
        <f>Semantics!B6&amp;" Salary"</f>
        <v>Teacher Salary</v>
      </c>
      <c r="B20" s="12" t="str">
        <f>Semantics!B14</f>
        <v>Salary Budget</v>
      </c>
      <c r="C20" s="7">
        <f>Cost!C35</f>
        <v>1679734.800000001</v>
      </c>
      <c r="D20" s="7">
        <f>Cost!D35</f>
        <v>2150633.4760000021</v>
      </c>
      <c r="E20" s="7">
        <f>Cost!E35</f>
        <v>2985614.9481004477</v>
      </c>
      <c r="F20" s="7">
        <f>Cost!F35</f>
        <v>3812706.470398793</v>
      </c>
      <c r="G20" s="7">
        <f>Cost!G35</f>
        <v>4426076.1984250918</v>
      </c>
      <c r="H20" s="7">
        <f>Cost!H35</f>
        <v>3869121.4462265023</v>
      </c>
      <c r="I20" s="7">
        <f>Cost!I35</f>
        <v>4532781.0304263467</v>
      </c>
      <c r="J20" s="7">
        <f>Cost!J35</f>
        <v>5037093.3088258365</v>
      </c>
      <c r="K20" s="7">
        <f>Cost!K35</f>
        <v>5685904.9268293297</v>
      </c>
    </row>
    <row r="21" spans="1:11" x14ac:dyDescent="0.3">
      <c r="A21" s="35" t="str">
        <f>Semantics!B7&amp;" Salary"</f>
        <v>Caregiver Salary</v>
      </c>
      <c r="B21" s="12" t="str">
        <f>Semantics!B14</f>
        <v>Salary Budget</v>
      </c>
      <c r="C21" s="7">
        <f>Cost!C38</f>
        <v>1445353.2000000009</v>
      </c>
      <c r="D21" s="7">
        <f>Cost!D38</f>
        <v>1850545.0840000017</v>
      </c>
      <c r="E21" s="7">
        <f>Cost!E38</f>
        <v>2569017.5134817804</v>
      </c>
      <c r="F21" s="7">
        <f>Cost!F38</f>
        <v>3280700.916389659</v>
      </c>
      <c r="G21" s="7">
        <f>Cost!G38</f>
        <v>3808484.1707378691</v>
      </c>
      <c r="H21" s="7">
        <f>Cost!H38</f>
        <v>3329244.0351251299</v>
      </c>
      <c r="I21" s="7">
        <f>Cost!I38</f>
        <v>3900299.9564133673</v>
      </c>
      <c r="J21" s="7">
        <f>Cost!J38</f>
        <v>4334243.0796873476</v>
      </c>
      <c r="K21" s="7">
        <f>Cost!K38</f>
        <v>4892522.8440159345</v>
      </c>
    </row>
    <row r="22" spans="1:11" x14ac:dyDescent="0.3">
      <c r="A22" s="42" t="s">
        <v>229</v>
      </c>
      <c r="B22" s="12" t="s">
        <v>92</v>
      </c>
      <c r="C22" s="7">
        <f>Cost!C41</f>
        <v>198000</v>
      </c>
      <c r="D22" s="7">
        <f>Cost!D41</f>
        <v>217800</v>
      </c>
      <c r="E22" s="7">
        <f>Cost!E41</f>
        <v>239580.00000000003</v>
      </c>
      <c r="F22" s="7">
        <f>Cost!F41</f>
        <v>263538.00000000006</v>
      </c>
      <c r="G22" s="7">
        <f>Cost!G41</f>
        <v>289891.8000000001</v>
      </c>
      <c r="H22" s="7">
        <f>Cost!H41</f>
        <v>0</v>
      </c>
      <c r="I22" s="7">
        <f>Cost!I41</f>
        <v>0</v>
      </c>
      <c r="J22" s="7">
        <f>Cost!J41</f>
        <v>0</v>
      </c>
      <c r="K22" s="7">
        <f>Cost!K41</f>
        <v>0</v>
      </c>
    </row>
    <row r="23" spans="1:11" x14ac:dyDescent="0.3">
      <c r="A23" s="35" t="s">
        <v>64</v>
      </c>
      <c r="B23" s="12" t="str">
        <f>Semantics!B16</f>
        <v>Development Budget</v>
      </c>
      <c r="C23" s="7">
        <f>Cost!C44</f>
        <v>2986200</v>
      </c>
      <c r="D23" s="7">
        <f>Cost!D44</f>
        <v>3135510</v>
      </c>
      <c r="E23" s="7">
        <f>Cost!E44</f>
        <v>3292285.5</v>
      </c>
      <c r="F23" s="7">
        <f>Cost!F44</f>
        <v>3560606.7682500007</v>
      </c>
      <c r="G23" s="7">
        <f>Cost!G44</f>
        <v>3850796.2198623754</v>
      </c>
      <c r="H23" s="7">
        <f>Cost!H44</f>
        <v>4164636.1117811599</v>
      </c>
      <c r="I23" s="7">
        <f>Cost!I44</f>
        <v>4504053.954891324</v>
      </c>
      <c r="J23" s="7">
        <f>Cost!J44</f>
        <v>4871134.3522149669</v>
      </c>
      <c r="K23" s="7">
        <f>Cost!K44</f>
        <v>5268131.8019204875</v>
      </c>
    </row>
    <row r="24" spans="1:11" x14ac:dyDescent="0.3">
      <c r="A24" s="42" t="s">
        <v>130</v>
      </c>
      <c r="B24" s="12" t="str">
        <f>Semantics!B14</f>
        <v>Salary Budget</v>
      </c>
      <c r="C24" s="7">
        <f>SUMIFS(Cost!C55:C68,Cost!$B$55:$B$68,$B$24)</f>
        <v>0</v>
      </c>
      <c r="D24" s="7">
        <f>SUMIFS(Cost!D55:D68,Cost!$B$55:$B$68,$B$24)</f>
        <v>0</v>
      </c>
      <c r="E24" s="7">
        <f>SUMIFS(Cost!E55:E68,Cost!$B$55:$B$68,$B$24)</f>
        <v>0</v>
      </c>
      <c r="F24" s="7">
        <f>SUMIFS(Cost!F55:F68,Cost!$B$55:$B$68,$B$24)</f>
        <v>0</v>
      </c>
      <c r="G24" s="7">
        <f>SUMIFS(Cost!G55:G68,Cost!$B$55:$B$68,$B$24)</f>
        <v>0</v>
      </c>
      <c r="H24" s="7">
        <f>SUMIFS(Cost!H55:H68,Cost!$B$55:$B$68,$B$24)</f>
        <v>0</v>
      </c>
      <c r="I24" s="7">
        <f>SUMIFS(Cost!I55:I68,Cost!$B$55:$B$68,$B$24)</f>
        <v>0</v>
      </c>
      <c r="J24" s="7">
        <f>SUMIFS(Cost!J55:J68,Cost!$B$55:$B$68,$B$24)</f>
        <v>0</v>
      </c>
      <c r="K24" s="7">
        <f>SUMIFS(Cost!K55:K68,Cost!$B$55:$B$68,$B$24)</f>
        <v>0</v>
      </c>
    </row>
    <row r="25" spans="1:11" x14ac:dyDescent="0.3">
      <c r="A25" s="42" t="s">
        <v>130</v>
      </c>
      <c r="B25" s="12" t="str">
        <f>Semantics!B15</f>
        <v>Non-Salary Budget</v>
      </c>
      <c r="C25" s="7">
        <f>SUMIFS(Cost!C55:C68,Cost!$B$55:$B$68,$B$25)</f>
        <v>4303750</v>
      </c>
      <c r="D25" s="7">
        <f>SUMIFS(Cost!D55:D68,Cost!$B$55:$B$68,$B$25)</f>
        <v>4297625</v>
      </c>
      <c r="E25" s="7">
        <f>SUMIFS(Cost!E55:E68,Cost!$B$55:$B$68,$B$25)</f>
        <v>4512506.25</v>
      </c>
      <c r="F25" s="7">
        <f>SUMIFS(Cost!F55:F68,Cost!$B$55:$B$68,$B$25)</f>
        <v>4738131.5625</v>
      </c>
      <c r="G25" s="7">
        <f>SUMIFS(Cost!G55:G68,Cost!$B$55:$B$68,$B$25)</f>
        <v>4975038.140625</v>
      </c>
      <c r="H25" s="7">
        <f>SUMIFS(Cost!H55:H68,Cost!$B$55:$B$68,$B$25)</f>
        <v>5223790.0476562502</v>
      </c>
      <c r="I25" s="7">
        <f>SUMIFS(Cost!I55:I68,Cost!$B$55:$B$68,$B$25)</f>
        <v>5484979.5500390632</v>
      </c>
      <c r="J25" s="7">
        <f>SUMIFS(Cost!J55:J68,Cost!$B$55:$B$68,$B$25)</f>
        <v>5759228.5275410172</v>
      </c>
      <c r="K25" s="7">
        <f>SUMIFS(Cost!K55:K68,Cost!$B$55:$B$68,$B$25)</f>
        <v>6047189.9539180696</v>
      </c>
    </row>
    <row r="26" spans="1:11" x14ac:dyDescent="0.3">
      <c r="A26" s="42" t="s">
        <v>130</v>
      </c>
      <c r="B26" s="12" t="str">
        <f>Semantics!B16</f>
        <v>Development Budget</v>
      </c>
      <c r="C26" s="7">
        <f>SUMIFS(Cost!C55:C68,Cost!$B$55:$B$68,$B$26)</f>
        <v>607500</v>
      </c>
      <c r="D26" s="7">
        <f>SUMIFS(Cost!D55:D68,Cost!$B$55:$B$68,$B$26)</f>
        <v>607500</v>
      </c>
      <c r="E26" s="7">
        <f>SUMIFS(Cost!E55:E68,Cost!$B$55:$B$68,$B$26)</f>
        <v>637875</v>
      </c>
      <c r="F26" s="7">
        <f>SUMIFS(Cost!F55:F68,Cost!$B$55:$B$68,$B$26)</f>
        <v>669768.75</v>
      </c>
      <c r="G26" s="7">
        <f>SUMIFS(Cost!G55:G68,Cost!$B$55:$B$68,$B$26)</f>
        <v>703257.1875</v>
      </c>
      <c r="H26" s="7">
        <f>SUMIFS(Cost!H55:H68,Cost!$B$55:$B$68,$B$26)</f>
        <v>738420.046875</v>
      </c>
      <c r="I26" s="7">
        <f>SUMIFS(Cost!I55:I68,Cost!$B$55:$B$68,$B$26)</f>
        <v>775341.04921875009</v>
      </c>
      <c r="J26" s="7">
        <f>SUMIFS(Cost!J55:J68,Cost!$B$55:$B$68,$B$26)</f>
        <v>814108.10167968762</v>
      </c>
      <c r="K26" s="7">
        <f>SUMIFS(Cost!K55:K68,Cost!$B$55:$B$68,$B$26)</f>
        <v>854813.50676367211</v>
      </c>
    </row>
    <row r="27" spans="1:11" x14ac:dyDescent="0.3">
      <c r="A27" s="35" t="s">
        <v>95</v>
      </c>
      <c r="B27" s="57" t="s">
        <v>34</v>
      </c>
      <c r="C27" s="34">
        <f>SUM(C17:C26)</f>
        <v>18564087.160400007</v>
      </c>
      <c r="D27" s="34">
        <f t="shared" ref="D27:K27" si="14">SUM(D17:D26)</f>
        <v>20688300.16950801</v>
      </c>
      <c r="E27" s="34">
        <f t="shared" si="14"/>
        <v>25069761.37539687</v>
      </c>
      <c r="F27" s="34">
        <f t="shared" si="14"/>
        <v>29208463.992298588</v>
      </c>
      <c r="G27" s="34">
        <f t="shared" si="14"/>
        <v>32141023.757418759</v>
      </c>
      <c r="H27" s="34">
        <f t="shared" si="14"/>
        <v>27588444.730692774</v>
      </c>
      <c r="I27" s="34">
        <f t="shared" si="14"/>
        <v>31039880.721039303</v>
      </c>
      <c r="J27" s="34">
        <f t="shared" si="14"/>
        <v>33326430.795402799</v>
      </c>
      <c r="K27" s="34">
        <f t="shared" si="14"/>
        <v>36201339.236457638</v>
      </c>
    </row>
    <row r="29" spans="1:11" x14ac:dyDescent="0.3">
      <c r="A29" s="3" t="s">
        <v>98</v>
      </c>
      <c r="B29" s="3"/>
      <c r="C29" s="3"/>
      <c r="H29" s="24"/>
    </row>
    <row r="31" spans="1:11" x14ac:dyDescent="0.3">
      <c r="A31" s="20" t="s">
        <v>56</v>
      </c>
      <c r="B31" s="20">
        <f>Inputs!$F$5+1</f>
        <v>2022</v>
      </c>
      <c r="C31" s="20">
        <f>B31+1</f>
        <v>2023</v>
      </c>
      <c r="D31" s="20">
        <f t="shared" ref="D31:J31" si="15">C31+1</f>
        <v>2024</v>
      </c>
      <c r="E31" s="20">
        <f t="shared" si="15"/>
        <v>2025</v>
      </c>
      <c r="F31" s="20">
        <f t="shared" si="15"/>
        <v>2026</v>
      </c>
      <c r="G31" s="20">
        <f t="shared" si="15"/>
        <v>2027</v>
      </c>
      <c r="H31" s="20">
        <f t="shared" si="15"/>
        <v>2028</v>
      </c>
      <c r="I31" s="20">
        <f t="shared" si="15"/>
        <v>2029</v>
      </c>
      <c r="J31" s="20">
        <f t="shared" si="15"/>
        <v>2030</v>
      </c>
    </row>
    <row r="32" spans="1:11" x14ac:dyDescent="0.3">
      <c r="A32" s="10" t="str">
        <f>Semantics!B14</f>
        <v>Salary Budget</v>
      </c>
      <c r="B32" s="7">
        <f>SUMIFS(C17:C26,$B$17:$B$26,"Salary Budget")+C8</f>
        <v>133182385.06750783</v>
      </c>
      <c r="C32" s="7">
        <f t="shared" ref="C32:J32" si="16">SUMIFS(D17:D26,$B$17:$B$26,"Salary Budget")+D8</f>
        <v>135498820.02984062</v>
      </c>
      <c r="D32" s="7">
        <f t="shared" si="16"/>
        <v>138510137.81721634</v>
      </c>
      <c r="E32" s="7">
        <f t="shared" si="16"/>
        <v>141524664.09970799</v>
      </c>
      <c r="F32" s="7">
        <f t="shared" si="16"/>
        <v>144159845.55840787</v>
      </c>
      <c r="G32" s="7">
        <f t="shared" si="16"/>
        <v>144317488.59336823</v>
      </c>
      <c r="H32" s="7">
        <f t="shared" si="16"/>
        <v>147052164.49590278</v>
      </c>
      <c r="I32" s="7">
        <f t="shared" si="16"/>
        <v>149506788.51793721</v>
      </c>
      <c r="J32" s="7">
        <f t="shared" si="16"/>
        <v>152246836.23521188</v>
      </c>
    </row>
    <row r="33" spans="1:10" x14ac:dyDescent="0.3">
      <c r="A33" s="10" t="str">
        <f>Semantics!B15</f>
        <v>Non-Salary Budget</v>
      </c>
      <c r="B33" s="7">
        <f>SUMIFS(C17:C26,$B$17:$B$26,"Non-Salary Budget")+C9</f>
        <v>37090774.124309689</v>
      </c>
      <c r="C33" s="7">
        <f t="shared" ref="C33:I33" si="17">SUMIFS(D17:D26,$B$17:$B$26,"Non-Salary Budget")+D9</f>
        <v>37541802.364841864</v>
      </c>
      <c r="D33" s="7">
        <f t="shared" si="17"/>
        <v>38211261.837922327</v>
      </c>
      <c r="E33" s="7">
        <f t="shared" si="17"/>
        <v>38909736.898889765</v>
      </c>
      <c r="F33" s="7">
        <f t="shared" si="17"/>
        <v>39628530.23764953</v>
      </c>
      <c r="G33" s="7">
        <f t="shared" si="17"/>
        <v>40293958.041386895</v>
      </c>
      <c r="H33" s="7">
        <f t="shared" si="17"/>
        <v>41050561.068053395</v>
      </c>
      <c r="I33" s="7">
        <f t="shared" si="17"/>
        <v>41829090.416019477</v>
      </c>
      <c r="J33" s="7">
        <f>SUMIFS(K17:K26,$B$17:$B$26,"Non-Salary Budget")+K9</f>
        <v>42575239.30456426</v>
      </c>
    </row>
    <row r="34" spans="1:10" x14ac:dyDescent="0.3">
      <c r="A34" s="10" t="str">
        <f>Semantics!B16</f>
        <v>Development Budget</v>
      </c>
      <c r="B34" s="7">
        <f>SUMIFS(C17:C26,$B$17:$B$26,"Development Budget")+C10</f>
        <v>51378860.043233588</v>
      </c>
      <c r="C34" s="7">
        <f t="shared" ref="C34:I34" si="18">SUMIFS(D17:D26,$B$17:$B$26,"Development Budget")+D10</f>
        <v>53099203.346220978</v>
      </c>
      <c r="D34" s="7">
        <f t="shared" si="18"/>
        <v>56191190.745026842</v>
      </c>
      <c r="E34" s="7">
        <f t="shared" si="18"/>
        <v>59036232.816215992</v>
      </c>
      <c r="F34" s="7">
        <f t="shared" si="18"/>
        <v>61062527.213225506</v>
      </c>
      <c r="G34" s="7">
        <f t="shared" si="18"/>
        <v>58163290.642303452</v>
      </c>
      <c r="H34" s="7">
        <f t="shared" si="18"/>
        <v>60628904.090377867</v>
      </c>
      <c r="I34" s="7">
        <f t="shared" si="18"/>
        <v>62217143.543074384</v>
      </c>
      <c r="J34" s="7">
        <f>SUMIFS(K17:K26,$B$17:$B$26,"Development Budget")+K10</f>
        <v>64170431.847286835</v>
      </c>
    </row>
    <row r="35" spans="1:10" x14ac:dyDescent="0.3">
      <c r="A35" s="10" t="s">
        <v>95</v>
      </c>
      <c r="B35" s="34">
        <f>SUM(B32:B34)</f>
        <v>221652019.2350511</v>
      </c>
      <c r="C35" s="34">
        <f t="shared" ref="C35" si="19">SUM(C32:C34)</f>
        <v>226139825.74090344</v>
      </c>
      <c r="D35" s="34">
        <f t="shared" ref="D35" si="20">SUM(D32:D34)</f>
        <v>232912590.4001655</v>
      </c>
      <c r="E35" s="34">
        <f t="shared" ref="E35" si="21">SUM(E32:E34)</f>
        <v>239470633.81481373</v>
      </c>
      <c r="F35" s="34">
        <f t="shared" ref="F35" si="22">SUM(F32:F34)</f>
        <v>244850903.00928292</v>
      </c>
      <c r="G35" s="34">
        <f t="shared" ref="G35" si="23">SUM(G32:G34)</f>
        <v>242774737.2770586</v>
      </c>
      <c r="H35" s="34">
        <f t="shared" ref="H35" si="24">SUM(H32:H34)</f>
        <v>248731629.65433404</v>
      </c>
      <c r="I35" s="34">
        <f t="shared" ref="I35" si="25">SUM(I32:I34)</f>
        <v>253553022.47703105</v>
      </c>
      <c r="J35" s="34">
        <f t="shared" ref="J35" si="26">SUM(J32:J34)</f>
        <v>258992507.38706297</v>
      </c>
    </row>
  </sheetData>
  <sheetProtection algorithmName="SHA-512" hashValue="97jqKnU6t8NAAvLHxFcyfXXkcwq5YZZC7Gp2WcixKBTfB2mZ7Dw/gLnYSENmqfJGn2cpcqBtl+lYK/jd7tXzyQ==" saltValue="vgd+4hPpCbsGOSIsnycDPA==" spinCount="100000" sheet="1" objects="1" scenarios="1"/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79D9-D754-43D1-821F-47CE5ABCC6C2}">
  <dimension ref="A1:L28"/>
  <sheetViews>
    <sheetView zoomScaleNormal="100" workbookViewId="0">
      <selection activeCell="F1" sqref="F1"/>
    </sheetView>
  </sheetViews>
  <sheetFormatPr defaultRowHeight="14.4" x14ac:dyDescent="0.3"/>
  <cols>
    <col min="1" max="1" width="24.44140625" customWidth="1"/>
    <col min="2" max="10" width="13.33203125" customWidth="1"/>
  </cols>
  <sheetData>
    <row r="1" spans="1:12" x14ac:dyDescent="0.3">
      <c r="A1" s="48" t="s">
        <v>201</v>
      </c>
      <c r="C1" s="2"/>
    </row>
    <row r="3" spans="1:12" x14ac:dyDescent="0.3">
      <c r="A3" s="62" t="s">
        <v>196</v>
      </c>
    </row>
    <row r="5" spans="1:12" x14ac:dyDescent="0.3">
      <c r="A5" s="3" t="s">
        <v>183</v>
      </c>
      <c r="B5" s="3"/>
      <c r="C5" s="3"/>
      <c r="K5" s="24" t="s">
        <v>59</v>
      </c>
      <c r="L5" s="23" t="str">
        <f>Inputs!C89</f>
        <v>USD</v>
      </c>
    </row>
    <row r="7" spans="1:12" x14ac:dyDescent="0.3">
      <c r="A7" s="20" t="s">
        <v>184</v>
      </c>
      <c r="B7" s="20">
        <f>Inputs!$F$5+1</f>
        <v>2022</v>
      </c>
      <c r="C7" s="20">
        <f>B7+1</f>
        <v>2023</v>
      </c>
      <c r="D7" s="20">
        <f t="shared" ref="D7:J7" si="0">C7+1</f>
        <v>2024</v>
      </c>
      <c r="E7" s="20">
        <f t="shared" si="0"/>
        <v>2025</v>
      </c>
      <c r="F7" s="20">
        <f t="shared" si="0"/>
        <v>2026</v>
      </c>
      <c r="G7" s="20">
        <f t="shared" si="0"/>
        <v>2027</v>
      </c>
      <c r="H7" s="20">
        <f t="shared" si="0"/>
        <v>2028</v>
      </c>
      <c r="I7" s="20">
        <f t="shared" si="0"/>
        <v>2029</v>
      </c>
      <c r="J7" s="20">
        <f t="shared" si="0"/>
        <v>2030</v>
      </c>
    </row>
    <row r="8" spans="1:12" x14ac:dyDescent="0.3">
      <c r="A8" s="66" t="s">
        <v>190</v>
      </c>
      <c r="B8" s="7">
        <f>Financing!C11</f>
        <v>203087932.07465112</v>
      </c>
      <c r="C8" s="7">
        <f>Financing!D11</f>
        <v>205451525.57139546</v>
      </c>
      <c r="D8" s="7">
        <f>Financing!E11</f>
        <v>207842829.02476862</v>
      </c>
      <c r="E8" s="7">
        <f>Financing!F11</f>
        <v>210262169.82251513</v>
      </c>
      <c r="F8" s="7">
        <f>Financing!G11</f>
        <v>212709879.25186417</v>
      </c>
      <c r="G8" s="7">
        <f>Financing!H11</f>
        <v>215186292.5463658</v>
      </c>
      <c r="H8" s="7">
        <f>Financing!I11</f>
        <v>217691748.93329474</v>
      </c>
      <c r="I8" s="7">
        <f>Financing!J11</f>
        <v>220226591.68162829</v>
      </c>
      <c r="J8" s="7">
        <f>Financing!K11</f>
        <v>222791168.15060535</v>
      </c>
    </row>
    <row r="9" spans="1:12" x14ac:dyDescent="0.3">
      <c r="A9" s="66" t="s">
        <v>185</v>
      </c>
      <c r="B9" s="7">
        <f>Financing!B35</f>
        <v>221652019.2350511</v>
      </c>
      <c r="C9" s="7">
        <f>Financing!C35</f>
        <v>226139825.74090344</v>
      </c>
      <c r="D9" s="7">
        <f>Financing!D35</f>
        <v>232912590.4001655</v>
      </c>
      <c r="E9" s="7">
        <f>Financing!E35</f>
        <v>239470633.81481373</v>
      </c>
      <c r="F9" s="7">
        <f>Financing!F35</f>
        <v>244850903.00928292</v>
      </c>
      <c r="G9" s="7">
        <f>Financing!G35</f>
        <v>242774737.2770586</v>
      </c>
      <c r="H9" s="7">
        <f>Financing!H35</f>
        <v>248731629.65433404</v>
      </c>
      <c r="I9" s="7">
        <f>Financing!I35</f>
        <v>253553022.47703105</v>
      </c>
      <c r="J9" s="7">
        <f>Financing!J35</f>
        <v>258992507.38706297</v>
      </c>
    </row>
    <row r="10" spans="1:12" x14ac:dyDescent="0.3">
      <c r="A10" s="66" t="s">
        <v>188</v>
      </c>
      <c r="B10" s="7">
        <f>Financing!B35-Financing!C23</f>
        <v>218665819.2350511</v>
      </c>
      <c r="C10" s="7">
        <f>Financing!C35-Financing!D23</f>
        <v>223004315.74090344</v>
      </c>
      <c r="D10" s="7">
        <f>Financing!D35-Financing!E23</f>
        <v>229620304.9001655</v>
      </c>
      <c r="E10" s="7">
        <f>Financing!E35-Financing!F23</f>
        <v>235910027.04656374</v>
      </c>
      <c r="F10" s="7">
        <f>Financing!F35-Financing!G23</f>
        <v>241000106.78942055</v>
      </c>
      <c r="G10" s="7">
        <f>Financing!G35-Financing!H23</f>
        <v>238610101.16527745</v>
      </c>
      <c r="H10" s="7">
        <f>Financing!H35-Financing!I23</f>
        <v>244227575.69944271</v>
      </c>
      <c r="I10" s="7">
        <f>Financing!I35-Financing!J23</f>
        <v>248681888.12481609</v>
      </c>
      <c r="J10" s="7">
        <f>Financing!J35-Financing!K23</f>
        <v>253724375.58514249</v>
      </c>
    </row>
    <row r="11" spans="1:12" x14ac:dyDescent="0.3">
      <c r="A11" s="66" t="s">
        <v>192</v>
      </c>
      <c r="B11" s="7">
        <f>Financing!B35-(Financing!C17+Financing!C19+Financing!C23+Financing!C26)</f>
        <v>210921073.32465109</v>
      </c>
      <c r="C11" s="7">
        <f>Financing!C35-(Financing!D17+Financing!D19+Financing!D23+Financing!D26)</f>
        <v>214190427.05269542</v>
      </c>
      <c r="D11" s="7">
        <f>Financing!D35-(Financing!E17+Financing!E19+Financing!E23+Financing!E26)</f>
        <v>218379291.81312391</v>
      </c>
      <c r="E11" s="7">
        <f>Financing!E35-(Financing!F17+Financing!F19+Financing!F23+Financing!F26)</f>
        <v>222606654.14703166</v>
      </c>
      <c r="F11" s="7">
        <f>Financing!F35-(Financing!G17+Financing!G19+Financing!G23+Financing!G26)</f>
        <v>226481340.88585931</v>
      </c>
      <c r="G11" s="7">
        <f>Financing!G35-(Financing!H17+Financing!H19+Financing!H23+Financing!H26)</f>
        <v>227831553.03371164</v>
      </c>
      <c r="H11" s="7">
        <f>Financing!H35-(Financing!I17+Financing!I19+Financing!I23+Financing!I26)</f>
        <v>231856482.02495506</v>
      </c>
      <c r="I11" s="7">
        <f>Financing!I35-(Financing!J17+Financing!J19+Financing!J23+Financing!J26)</f>
        <v>235629874.57517573</v>
      </c>
      <c r="J11" s="7">
        <f>Financing!J35-(Financing!K17+Financing!K19+Financing!K23+Financing!K26)</f>
        <v>239662980.8369745</v>
      </c>
    </row>
    <row r="12" spans="1:12" x14ac:dyDescent="0.3">
      <c r="A12" s="66" t="s">
        <v>193</v>
      </c>
      <c r="B12" s="7">
        <f>Financing!B35-Cost!C62</f>
        <v>218052019.2350511</v>
      </c>
      <c r="C12" s="7">
        <f>Financing!C35-Cost!D62</f>
        <v>222539825.74090344</v>
      </c>
      <c r="D12" s="7">
        <f>Financing!D35-Cost!E62</f>
        <v>229132590.4001655</v>
      </c>
      <c r="E12" s="7">
        <f>Financing!E35-Cost!F62</f>
        <v>235501633.81481373</v>
      </c>
      <c r="F12" s="7">
        <f>Financing!F35-Cost!G62</f>
        <v>240683453.00928292</v>
      </c>
      <c r="G12" s="7">
        <f>Financing!G35-Cost!H62</f>
        <v>238398914.7770586</v>
      </c>
      <c r="H12" s="7">
        <f>Financing!H35-Cost!I62</f>
        <v>244137016.02933404</v>
      </c>
      <c r="I12" s="7">
        <f>Financing!I35-Cost!J62</f>
        <v>248728678.17078105</v>
      </c>
      <c r="J12" s="7">
        <f>Financing!J35-Cost!K62</f>
        <v>253926945.86550045</v>
      </c>
    </row>
    <row r="14" spans="1:12" x14ac:dyDescent="0.3">
      <c r="A14" s="3" t="s">
        <v>251</v>
      </c>
      <c r="B14" s="3"/>
      <c r="C14" s="3"/>
    </row>
    <row r="16" spans="1:12" x14ac:dyDescent="0.3">
      <c r="A16" s="20" t="s">
        <v>184</v>
      </c>
      <c r="B16" s="20">
        <f>Inputs!$F$5+1</f>
        <v>2022</v>
      </c>
      <c r="C16" s="20">
        <f>B16+1</f>
        <v>2023</v>
      </c>
      <c r="D16" s="20">
        <f t="shared" ref="D16" si="1">C16+1</f>
        <v>2024</v>
      </c>
      <c r="E16" s="20">
        <f t="shared" ref="E16" si="2">D16+1</f>
        <v>2025</v>
      </c>
      <c r="F16" s="20">
        <f t="shared" ref="F16" si="3">E16+1</f>
        <v>2026</v>
      </c>
      <c r="G16" s="20">
        <f t="shared" ref="G16" si="4">F16+1</f>
        <v>2027</v>
      </c>
      <c r="H16" s="20">
        <f t="shared" ref="H16" si="5">G16+1</f>
        <v>2028</v>
      </c>
      <c r="I16" s="20">
        <f t="shared" ref="I16" si="6">H16+1</f>
        <v>2029</v>
      </c>
      <c r="J16" s="20">
        <f t="shared" ref="J16" si="7">I16+1</f>
        <v>2030</v>
      </c>
    </row>
    <row r="17" spans="1:10" x14ac:dyDescent="0.3">
      <c r="A17" s="66" t="s">
        <v>190</v>
      </c>
      <c r="B17" s="94">
        <f>B8/Financing!C12</f>
        <v>6.5435232619875036E-2</v>
      </c>
      <c r="C17" s="94">
        <f>C8/Financing!D12</f>
        <v>6.5676853403195845E-2</v>
      </c>
      <c r="D17" s="94">
        <f>D8/Financing!E12</f>
        <v>6.5919430379195357E-2</v>
      </c>
      <c r="E17" s="94">
        <f>E8/Financing!F12</f>
        <v>6.6162967612457324E-2</v>
      </c>
      <c r="F17" s="94">
        <f>F8/Financing!G12</f>
        <v>6.6407469186015616E-2</v>
      </c>
      <c r="G17" s="94">
        <f>G8/Financing!H12</f>
        <v>6.6652939201442593E-2</v>
      </c>
      <c r="H17" s="94">
        <f>H8/Financing!I12</f>
        <v>6.6899381778937991E-2</v>
      </c>
      <c r="I17" s="94">
        <f>I8/Financing!J12</f>
        <v>6.7146801057418257E-2</v>
      </c>
      <c r="J17" s="94">
        <f>J8/Financing!K12</f>
        <v>6.7395201194606236E-2</v>
      </c>
    </row>
    <row r="18" spans="1:10" x14ac:dyDescent="0.3">
      <c r="A18" s="66" t="s">
        <v>185</v>
      </c>
      <c r="B18" s="94">
        <f>B9/Financing!C12</f>
        <v>7.1416609008452828E-2</v>
      </c>
      <c r="C18" s="94">
        <f>C9/Financing!D12</f>
        <v>7.2290298855183593E-2</v>
      </c>
      <c r="D18" s="94">
        <f>D9/Financing!E12</f>
        <v>7.3870555743311611E-2</v>
      </c>
      <c r="E18" s="94">
        <f>E9/Financing!F12</f>
        <v>7.5353963114707406E-2</v>
      </c>
      <c r="F18" s="94">
        <f>F9/Financing!G12</f>
        <v>7.6441812923527169E-2</v>
      </c>
      <c r="G18" s="94">
        <f>G9/Financing!H12</f>
        <v>7.5198329837330866E-2</v>
      </c>
      <c r="H18" s="94">
        <f>H9/Financing!I12</f>
        <v>7.6438323153173546E-2</v>
      </c>
      <c r="I18" s="94">
        <f>I9/Financing!J12</f>
        <v>7.7307986414215504E-2</v>
      </c>
      <c r="J18" s="94">
        <f>J9/Financing!K12</f>
        <v>7.8346248139635796E-2</v>
      </c>
    </row>
    <row r="19" spans="1:10" x14ac:dyDescent="0.3">
      <c r="A19" s="66" t="s">
        <v>188</v>
      </c>
      <c r="B19" s="94">
        <f>B10/Financing!C12</f>
        <v>7.0454450943946839E-2</v>
      </c>
      <c r="C19" s="94">
        <f>C10/Financing!D12</f>
        <v>7.1287967867173022E-2</v>
      </c>
      <c r="D19" s="94">
        <f>D10/Financing!E12</f>
        <v>7.2826374494316864E-2</v>
      </c>
      <c r="E19" s="94">
        <f>E10/Financing!F12</f>
        <v>7.4233550867048789E-2</v>
      </c>
      <c r="F19" s="94">
        <f>F10/Financing!G12</f>
        <v>7.52396043932438E-2</v>
      </c>
      <c r="G19" s="94">
        <f>G10/Financing!H12</f>
        <v>7.3908353443993116E-2</v>
      </c>
      <c r="H19" s="94">
        <f>H10/Financing!I12</f>
        <v>7.5054171357996691E-2</v>
      </c>
      <c r="I19" s="94">
        <f>I10/Financing!J12</f>
        <v>7.5822783892691759E-2</v>
      </c>
      <c r="J19" s="94">
        <f>J10/Financing!K12</f>
        <v>7.6752617630592795E-2</v>
      </c>
    </row>
    <row r="20" spans="1:10" x14ac:dyDescent="0.3">
      <c r="A20" s="66" t="s">
        <v>192</v>
      </c>
      <c r="B20" s="94">
        <f>B11/Financing!C12</f>
        <v>6.7959082336606011E-2</v>
      </c>
      <c r="C20" s="94">
        <f>C11/Financing!D12</f>
        <v>6.8470425024998491E-2</v>
      </c>
      <c r="D20" s="94">
        <f>D11/Financing!E12</f>
        <v>6.9261174852550261E-2</v>
      </c>
      <c r="E20" s="94">
        <f>E11/Financing!F12</f>
        <v>7.0047393028807303E-2</v>
      </c>
      <c r="F20" s="94">
        <f>F11/Financing!G12</f>
        <v>7.0706883568283502E-2</v>
      </c>
      <c r="G20" s="94">
        <f>G11/Financing!H12</f>
        <v>7.0569748996694132E-2</v>
      </c>
      <c r="H20" s="94">
        <f>H11/Financing!I12</f>
        <v>7.1252380418248426E-2</v>
      </c>
      <c r="I20" s="94">
        <f>I11/Financing!J12</f>
        <v>7.1843241955797041E-2</v>
      </c>
      <c r="J20" s="94">
        <f>J11/Financing!K12</f>
        <v>7.2498990630940188E-2</v>
      </c>
    </row>
    <row r="21" spans="1:10" x14ac:dyDescent="0.3">
      <c r="A21" s="66" t="s">
        <v>193</v>
      </c>
      <c r="B21" s="94">
        <f>B12/Financing!C12</f>
        <v>7.0256683674509504E-2</v>
      </c>
      <c r="C21" s="94">
        <f>C12/Financing!D12</f>
        <v>7.1139483977591733E-2</v>
      </c>
      <c r="D21" s="94">
        <f>D12/Financing!E12</f>
        <v>7.2671690966487068E-2</v>
      </c>
      <c r="E21" s="94">
        <f>E12/Financing!F12</f>
        <v>7.4105042214311925E-2</v>
      </c>
      <c r="F21" s="94">
        <f>F12/Financing!G12</f>
        <v>7.5140745909467288E-2</v>
      </c>
      <c r="G21" s="94">
        <f>G12/Financing!H12</f>
        <v>7.3842939456291792E-2</v>
      </c>
      <c r="H21" s="94">
        <f>H12/Financing!I12</f>
        <v>7.5026341245123501E-2</v>
      </c>
      <c r="I21" s="94">
        <f>I12/Financing!J12</f>
        <v>7.5837050116783433E-2</v>
      </c>
      <c r="J21" s="94">
        <f>J12/Financing!K12</f>
        <v>7.6813895934010751E-2</v>
      </c>
    </row>
    <row r="22" spans="1:10" x14ac:dyDescent="0.3">
      <c r="B22" s="93"/>
      <c r="C22" s="93"/>
      <c r="D22" s="93"/>
      <c r="E22" s="93"/>
      <c r="F22" s="93"/>
      <c r="G22" s="93"/>
      <c r="H22" s="93"/>
      <c r="I22" s="93"/>
      <c r="J22" s="93"/>
    </row>
    <row r="23" spans="1:10" x14ac:dyDescent="0.3">
      <c r="A23" s="3" t="s">
        <v>186</v>
      </c>
    </row>
    <row r="24" spans="1:10" x14ac:dyDescent="0.3">
      <c r="A24" t="s">
        <v>191</v>
      </c>
    </row>
    <row r="25" spans="1:10" x14ac:dyDescent="0.3">
      <c r="A25" t="s">
        <v>187</v>
      </c>
    </row>
    <row r="26" spans="1:10" x14ac:dyDescent="0.3">
      <c r="A26" t="s">
        <v>189</v>
      </c>
    </row>
    <row r="27" spans="1:10" x14ac:dyDescent="0.3">
      <c r="A27" t="s">
        <v>194</v>
      </c>
    </row>
    <row r="28" spans="1:10" x14ac:dyDescent="0.3">
      <c r="A28" t="s">
        <v>195</v>
      </c>
    </row>
  </sheetData>
  <sheetProtection algorithmName="SHA-512" hashValue="i51cbrKkVdq/xeoyGPnTLz8HNSSDBlO7FPWPL1wygpRpBNbIFi3I9tMyDK69AdBlqRtdvJjER8L+fEm85HhaTQ==" saltValue="gV8qHLVIVYa39yGN967rSA==" spinCount="100000"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85EA-EE0D-4E07-A7B1-751B73560751}">
  <dimension ref="A1:B21"/>
  <sheetViews>
    <sheetView workbookViewId="0">
      <selection activeCell="F1" sqref="F1"/>
    </sheetView>
  </sheetViews>
  <sheetFormatPr defaultRowHeight="14.4" x14ac:dyDescent="0.3"/>
  <cols>
    <col min="1" max="1" width="7.109375" customWidth="1"/>
    <col min="2" max="2" width="23" customWidth="1"/>
  </cols>
  <sheetData>
    <row r="1" spans="1:2" x14ac:dyDescent="0.3">
      <c r="A1" s="48" t="s">
        <v>201</v>
      </c>
    </row>
    <row r="3" spans="1:2" x14ac:dyDescent="0.3">
      <c r="A3" s="4" t="s">
        <v>202</v>
      </c>
    </row>
    <row r="5" spans="1:2" x14ac:dyDescent="0.3">
      <c r="A5" s="10" t="s">
        <v>203</v>
      </c>
      <c r="B5" s="10" t="s">
        <v>204</v>
      </c>
    </row>
    <row r="6" spans="1:2" x14ac:dyDescent="0.3">
      <c r="A6" s="73">
        <v>1</v>
      </c>
      <c r="B6" s="74" t="s">
        <v>209</v>
      </c>
    </row>
    <row r="7" spans="1:2" x14ac:dyDescent="0.3">
      <c r="A7" s="73" t="s">
        <v>254</v>
      </c>
      <c r="B7" s="74" t="s">
        <v>210</v>
      </c>
    </row>
    <row r="8" spans="1:2" x14ac:dyDescent="0.3">
      <c r="A8" s="73">
        <v>3</v>
      </c>
      <c r="B8" s="74" t="s">
        <v>208</v>
      </c>
    </row>
    <row r="9" spans="1:2" x14ac:dyDescent="0.3">
      <c r="A9" s="73">
        <v>4</v>
      </c>
      <c r="B9" s="74" t="s">
        <v>61</v>
      </c>
    </row>
    <row r="10" spans="1:2" x14ac:dyDescent="0.3">
      <c r="A10" s="73">
        <v>5</v>
      </c>
      <c r="B10" s="74" t="s">
        <v>62</v>
      </c>
    </row>
    <row r="11" spans="1:2" x14ac:dyDescent="0.3">
      <c r="A11" s="73">
        <v>6</v>
      </c>
      <c r="B11" s="74" t="s">
        <v>84</v>
      </c>
    </row>
    <row r="12" spans="1:2" x14ac:dyDescent="0.3">
      <c r="A12" s="73">
        <v>7</v>
      </c>
      <c r="B12" s="74" t="s">
        <v>205</v>
      </c>
    </row>
    <row r="13" spans="1:2" x14ac:dyDescent="0.3">
      <c r="A13" s="73" t="s">
        <v>253</v>
      </c>
      <c r="B13" s="74" t="s">
        <v>206</v>
      </c>
    </row>
    <row r="14" spans="1:2" x14ac:dyDescent="0.3">
      <c r="A14" s="73">
        <v>9</v>
      </c>
      <c r="B14" s="74" t="s">
        <v>92</v>
      </c>
    </row>
    <row r="15" spans="1:2" x14ac:dyDescent="0.3">
      <c r="A15" s="73">
        <v>10</v>
      </c>
      <c r="B15" s="74" t="s">
        <v>93</v>
      </c>
    </row>
    <row r="16" spans="1:2" x14ac:dyDescent="0.3">
      <c r="A16" s="73">
        <v>11</v>
      </c>
      <c r="B16" s="74" t="s">
        <v>94</v>
      </c>
    </row>
    <row r="18" spans="1:1" x14ac:dyDescent="0.3">
      <c r="A18" s="62" t="s">
        <v>207</v>
      </c>
    </row>
    <row r="19" spans="1:1" x14ac:dyDescent="0.3">
      <c r="A19" s="62"/>
    </row>
    <row r="20" spans="1:1" x14ac:dyDescent="0.3">
      <c r="A20" s="54" t="s">
        <v>256</v>
      </c>
    </row>
    <row r="21" spans="1:1" x14ac:dyDescent="0.3">
      <c r="A21" s="54" t="s">
        <v>255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9A33-31DC-4F63-A3D5-7D97F54E988F}">
  <dimension ref="A1:S116"/>
  <sheetViews>
    <sheetView workbookViewId="0">
      <selection activeCell="F1" sqref="F1"/>
    </sheetView>
  </sheetViews>
  <sheetFormatPr defaultRowHeight="14.4" x14ac:dyDescent="0.3"/>
  <cols>
    <col min="1" max="1" width="25.109375" customWidth="1"/>
    <col min="2" max="2" width="13.44140625" bestFit="1" customWidth="1"/>
    <col min="3" max="5" width="12.5546875" customWidth="1"/>
    <col min="6" max="6" width="13.6640625" customWidth="1"/>
    <col min="7" max="7" width="12.109375" customWidth="1"/>
    <col min="8" max="8" width="13.109375" customWidth="1"/>
    <col min="9" max="9" width="12.44140625" customWidth="1"/>
    <col min="10" max="10" width="13" customWidth="1"/>
    <col min="11" max="11" width="14" customWidth="1"/>
    <col min="12" max="13" width="11.109375" customWidth="1"/>
    <col min="14" max="14" width="13.109375" bestFit="1" customWidth="1"/>
    <col min="16" max="16" width="14.44140625" customWidth="1"/>
  </cols>
  <sheetData>
    <row r="1" spans="1:11" x14ac:dyDescent="0.3">
      <c r="A1" s="48" t="s">
        <v>201</v>
      </c>
    </row>
    <row r="3" spans="1:11" x14ac:dyDescent="0.3">
      <c r="A3" s="62" t="s">
        <v>177</v>
      </c>
    </row>
    <row r="5" spans="1:11" x14ac:dyDescent="0.3">
      <c r="A5" s="3" t="s">
        <v>119</v>
      </c>
      <c r="E5" s="24" t="s">
        <v>122</v>
      </c>
      <c r="F5" s="78">
        <v>2021</v>
      </c>
      <c r="I5" s="24" t="s">
        <v>168</v>
      </c>
      <c r="J5" s="78">
        <v>3</v>
      </c>
      <c r="K5" t="s">
        <v>169</v>
      </c>
    </row>
    <row r="7" spans="1:11" x14ac:dyDescent="0.3">
      <c r="A7" s="4" t="s">
        <v>181</v>
      </c>
      <c r="E7" s="4" t="s">
        <v>123</v>
      </c>
      <c r="I7" s="4" t="s">
        <v>212</v>
      </c>
    </row>
    <row r="8" spans="1:11" x14ac:dyDescent="0.3">
      <c r="A8" s="4"/>
      <c r="E8" s="4"/>
      <c r="I8" s="4"/>
    </row>
    <row r="9" spans="1:11" x14ac:dyDescent="0.3">
      <c r="A9" s="1" t="s">
        <v>172</v>
      </c>
      <c r="B9" s="77">
        <v>2.5000000000000001E-2</v>
      </c>
      <c r="C9" t="s">
        <v>9</v>
      </c>
      <c r="E9" s="11" t="s">
        <v>17</v>
      </c>
      <c r="F9" s="11" t="s">
        <v>170</v>
      </c>
      <c r="G9" s="11" t="s">
        <v>171</v>
      </c>
    </row>
    <row r="10" spans="1:11" x14ac:dyDescent="0.3">
      <c r="A10" s="1" t="s">
        <v>173</v>
      </c>
      <c r="B10" s="77">
        <v>1.7500000000000002E-2</v>
      </c>
      <c r="C10" t="s">
        <v>9</v>
      </c>
      <c r="E10" s="1" t="s">
        <v>1</v>
      </c>
      <c r="F10" s="77">
        <v>0.155</v>
      </c>
      <c r="G10" s="77">
        <v>0.1875</v>
      </c>
      <c r="I10" s="1" t="s">
        <v>13</v>
      </c>
      <c r="J10" s="77">
        <v>0.1</v>
      </c>
    </row>
    <row r="11" spans="1:11" x14ac:dyDescent="0.3">
      <c r="E11" s="1" t="s">
        <v>2</v>
      </c>
      <c r="F11" s="77">
        <v>5.5E-2</v>
      </c>
      <c r="G11" s="77">
        <v>8.5500000000000007E-2</v>
      </c>
      <c r="I11" s="1" t="s">
        <v>14</v>
      </c>
      <c r="J11" s="77">
        <v>0.1</v>
      </c>
    </row>
    <row r="12" spans="1:11" x14ac:dyDescent="0.3">
      <c r="A12" s="4" t="s">
        <v>182</v>
      </c>
      <c r="E12" s="1" t="s">
        <v>3</v>
      </c>
      <c r="F12" s="77">
        <v>3.7499999999999999E-2</v>
      </c>
      <c r="G12" s="77">
        <v>5.5800000000000002E-2</v>
      </c>
    </row>
    <row r="13" spans="1:11" x14ac:dyDescent="0.3">
      <c r="A13" s="4"/>
      <c r="E13" s="1" t="s">
        <v>4</v>
      </c>
      <c r="F13" s="77">
        <v>4.4999999999999998E-2</v>
      </c>
      <c r="G13" s="77">
        <v>8.9499999999999996E-2</v>
      </c>
    </row>
    <row r="14" spans="1:11" x14ac:dyDescent="0.3">
      <c r="A14" s="1" t="s">
        <v>172</v>
      </c>
      <c r="B14" s="77">
        <v>5.0000000000000001E-3</v>
      </c>
      <c r="C14" t="s">
        <v>9</v>
      </c>
      <c r="E14" s="1" t="s">
        <v>5</v>
      </c>
      <c r="F14" s="77">
        <v>3.7999999999999999E-2</v>
      </c>
      <c r="G14" s="77">
        <v>5.45E-2</v>
      </c>
    </row>
    <row r="15" spans="1:11" x14ac:dyDescent="0.3">
      <c r="A15" s="1" t="s">
        <v>173</v>
      </c>
      <c r="B15" s="77">
        <v>5.0000000000000001E-3</v>
      </c>
      <c r="C15" t="s">
        <v>9</v>
      </c>
    </row>
    <row r="17" spans="1:13" x14ac:dyDescent="0.3">
      <c r="A17" s="4" t="s">
        <v>179</v>
      </c>
      <c r="F17" s="4" t="s">
        <v>180</v>
      </c>
      <c r="K17" s="4" t="s">
        <v>211</v>
      </c>
    </row>
    <row r="18" spans="1:13" x14ac:dyDescent="0.3">
      <c r="B18" s="96">
        <f>F5</f>
        <v>2021</v>
      </c>
      <c r="C18" s="97"/>
      <c r="G18" s="96">
        <f>F5</f>
        <v>2021</v>
      </c>
      <c r="H18" s="97"/>
      <c r="L18" s="96">
        <f>F5</f>
        <v>2021</v>
      </c>
      <c r="M18" s="97"/>
    </row>
    <row r="19" spans="1:13" x14ac:dyDescent="0.3">
      <c r="A19" s="10" t="s">
        <v>111</v>
      </c>
      <c r="B19" s="10" t="s">
        <v>13</v>
      </c>
      <c r="C19" s="10" t="s">
        <v>14</v>
      </c>
      <c r="F19" s="10" t="s">
        <v>111</v>
      </c>
      <c r="G19" s="10" t="s">
        <v>13</v>
      </c>
      <c r="H19" s="10" t="s">
        <v>14</v>
      </c>
      <c r="K19" s="10" t="s">
        <v>111</v>
      </c>
      <c r="L19" s="10" t="s">
        <v>13</v>
      </c>
      <c r="M19" s="10" t="s">
        <v>14</v>
      </c>
    </row>
    <row r="20" spans="1:13" x14ac:dyDescent="0.3">
      <c r="A20" s="10">
        <v>0</v>
      </c>
      <c r="B20" s="65">
        <v>552551</v>
      </c>
      <c r="C20" s="65">
        <v>355856</v>
      </c>
      <c r="F20" s="10">
        <v>0</v>
      </c>
      <c r="G20" s="65">
        <v>786</v>
      </c>
      <c r="H20" s="65">
        <v>276</v>
      </c>
      <c r="K20" s="10">
        <v>0</v>
      </c>
      <c r="L20" s="65">
        <v>82</v>
      </c>
      <c r="M20" s="65">
        <v>26</v>
      </c>
    </row>
    <row r="21" spans="1:13" x14ac:dyDescent="0.3">
      <c r="A21" s="10">
        <v>1</v>
      </c>
      <c r="B21" s="65">
        <v>482166</v>
      </c>
      <c r="C21" s="65">
        <v>332565</v>
      </c>
      <c r="F21" s="10">
        <v>1</v>
      </c>
      <c r="G21" s="65">
        <v>1025</v>
      </c>
      <c r="H21" s="65">
        <v>815</v>
      </c>
      <c r="K21" s="10">
        <v>1</v>
      </c>
      <c r="L21" s="65">
        <v>158</v>
      </c>
      <c r="M21" s="65">
        <v>175</v>
      </c>
    </row>
    <row r="22" spans="1:13" x14ac:dyDescent="0.3">
      <c r="A22" s="10">
        <v>2</v>
      </c>
      <c r="B22" s="65">
        <v>545661</v>
      </c>
      <c r="C22" s="65">
        <v>425448</v>
      </c>
      <c r="F22" s="10">
        <v>2</v>
      </c>
      <c r="G22" s="65">
        <v>1158</v>
      </c>
      <c r="H22" s="65">
        <v>564</v>
      </c>
      <c r="K22" s="10">
        <v>2</v>
      </c>
      <c r="L22" s="65">
        <v>215</v>
      </c>
      <c r="M22" s="65">
        <v>258</v>
      </c>
    </row>
    <row r="23" spans="1:13" x14ac:dyDescent="0.3">
      <c r="A23" s="10">
        <v>3</v>
      </c>
      <c r="B23" s="65">
        <v>513333</v>
      </c>
      <c r="C23" s="65">
        <v>354563</v>
      </c>
      <c r="F23" s="10">
        <v>3</v>
      </c>
      <c r="G23" s="65">
        <v>1245</v>
      </c>
      <c r="H23" s="65">
        <v>758</v>
      </c>
      <c r="K23" s="10">
        <v>3</v>
      </c>
      <c r="L23" s="65">
        <v>454</v>
      </c>
      <c r="M23" s="65">
        <v>75</v>
      </c>
    </row>
    <row r="24" spans="1:13" x14ac:dyDescent="0.3">
      <c r="A24" s="10">
        <v>4</v>
      </c>
      <c r="B24" s="65">
        <v>461185</v>
      </c>
      <c r="C24" s="65">
        <v>275042</v>
      </c>
      <c r="F24" s="10">
        <v>4</v>
      </c>
      <c r="G24" s="65">
        <v>1758</v>
      </c>
      <c r="H24" s="65">
        <v>599</v>
      </c>
      <c r="K24" s="10">
        <v>4</v>
      </c>
      <c r="L24" s="65">
        <v>124</v>
      </c>
      <c r="M24" s="65">
        <v>254</v>
      </c>
    </row>
    <row r="25" spans="1:13" x14ac:dyDescent="0.3">
      <c r="A25" s="10">
        <v>5</v>
      </c>
      <c r="B25" s="65">
        <v>525810</v>
      </c>
      <c r="C25" s="65">
        <v>354811</v>
      </c>
      <c r="F25" s="10">
        <v>5</v>
      </c>
      <c r="G25" s="65">
        <v>2089</v>
      </c>
      <c r="H25" s="65">
        <v>1045</v>
      </c>
      <c r="K25" s="10">
        <v>5</v>
      </c>
      <c r="L25" s="65">
        <v>354</v>
      </c>
      <c r="M25" s="65">
        <v>149</v>
      </c>
    </row>
    <row r="27" spans="1:13" x14ac:dyDescent="0.3">
      <c r="A27" s="4" t="s">
        <v>166</v>
      </c>
      <c r="G27" s="4" t="s">
        <v>167</v>
      </c>
    </row>
    <row r="28" spans="1:13" x14ac:dyDescent="0.3">
      <c r="A28" s="4"/>
      <c r="G28" s="4"/>
    </row>
    <row r="29" spans="1:13" x14ac:dyDescent="0.3">
      <c r="C29" s="95">
        <f>F5</f>
        <v>2021</v>
      </c>
      <c r="D29" s="95"/>
      <c r="E29" s="95"/>
      <c r="I29" s="95">
        <f>F5</f>
        <v>2021</v>
      </c>
      <c r="J29" s="95"/>
      <c r="K29" s="95"/>
    </row>
    <row r="30" spans="1:13" x14ac:dyDescent="0.3">
      <c r="A30" s="10" t="s">
        <v>51</v>
      </c>
      <c r="B30" s="10" t="s">
        <v>124</v>
      </c>
      <c r="C30" s="10" t="s">
        <v>120</v>
      </c>
      <c r="D30" s="10" t="s">
        <v>82</v>
      </c>
      <c r="E30" s="10" t="s">
        <v>121</v>
      </c>
      <c r="G30" s="10" t="s">
        <v>51</v>
      </c>
      <c r="H30" s="10" t="s">
        <v>124</v>
      </c>
      <c r="I30" s="10" t="s">
        <v>120</v>
      </c>
      <c r="J30" s="10" t="s">
        <v>82</v>
      </c>
      <c r="K30" s="10" t="s">
        <v>121</v>
      </c>
    </row>
    <row r="31" spans="1:13" x14ac:dyDescent="0.3">
      <c r="A31" s="10" t="str">
        <f>IF($J$5&gt;1,"Male","Male")</f>
        <v>Male</v>
      </c>
      <c r="B31" s="16" t="str">
        <f>IF($J$5&gt;1,"Pre-Pri Year 1","Pre-Pri Year")</f>
        <v>Pre-Pri Year 1</v>
      </c>
      <c r="C31" s="79">
        <v>0.14000000000000001</v>
      </c>
      <c r="D31" s="79">
        <v>0.14000000000000001</v>
      </c>
      <c r="E31" s="79">
        <v>0.14000000000000001</v>
      </c>
      <c r="G31" s="10" t="str">
        <f>IF($J$5&gt;1,"Male","Male")</f>
        <v>Male</v>
      </c>
      <c r="H31" s="16" t="str">
        <f>IF($J$5&gt;1,"Pre-Pri Year 1","Pre-Pri Year")</f>
        <v>Pre-Pri Year 1</v>
      </c>
      <c r="I31" s="79">
        <v>0.11</v>
      </c>
      <c r="J31" s="79">
        <v>0.11</v>
      </c>
      <c r="K31" s="79">
        <v>0.11</v>
      </c>
    </row>
    <row r="32" spans="1:13" x14ac:dyDescent="0.3">
      <c r="A32" s="10" t="str">
        <f>IF($J$5&gt;1,"Male","")</f>
        <v>Male</v>
      </c>
      <c r="B32" s="16" t="str">
        <f>IF($J$5&gt;1,"Pre-Pri Year 2","")</f>
        <v>Pre-Pri Year 2</v>
      </c>
      <c r="C32" s="79">
        <v>0.12</v>
      </c>
      <c r="D32" s="79">
        <v>0.12</v>
      </c>
      <c r="E32" s="79">
        <v>0.12</v>
      </c>
      <c r="G32" s="10" t="str">
        <f>IF($J$5&gt;1,"Male","")</f>
        <v>Male</v>
      </c>
      <c r="H32" s="16" t="str">
        <f>IF($J$5&gt;1,"Pre-Pri Year 2","")</f>
        <v>Pre-Pri Year 2</v>
      </c>
      <c r="I32" s="79">
        <v>0.09</v>
      </c>
      <c r="J32" s="79">
        <v>0.09</v>
      </c>
      <c r="K32" s="79">
        <v>0.09</v>
      </c>
    </row>
    <row r="33" spans="1:13" x14ac:dyDescent="0.3">
      <c r="A33" s="10" t="str">
        <f>IF($J$5=3,"Male","")</f>
        <v>Male</v>
      </c>
      <c r="B33" s="16" t="str">
        <f>IF($J$5=3,"Pre-Pri Year 3","")</f>
        <v>Pre-Pri Year 3</v>
      </c>
      <c r="C33" s="79">
        <v>0.11</v>
      </c>
      <c r="D33" s="79">
        <v>0.11</v>
      </c>
      <c r="E33" s="79">
        <v>0.11</v>
      </c>
      <c r="G33" s="10" t="str">
        <f>IF($J$5=3,"Male","")</f>
        <v>Male</v>
      </c>
      <c r="H33" s="16" t="str">
        <f>IF($J$5=3,"Pre-Pri Year 3","")</f>
        <v>Pre-Pri Year 3</v>
      </c>
      <c r="I33" s="79">
        <v>7.0000000000000007E-2</v>
      </c>
      <c r="J33" s="79">
        <v>7.0000000000000007E-2</v>
      </c>
      <c r="K33" s="79">
        <v>7.0000000000000007E-2</v>
      </c>
    </row>
    <row r="34" spans="1:13" x14ac:dyDescent="0.3">
      <c r="A34" s="10" t="str">
        <f>IF($J$5&gt;1,"Female","Female")</f>
        <v>Female</v>
      </c>
      <c r="B34" s="16" t="str">
        <f>IF($J$5&gt;1,"Pre-Pri Year 1","Pre-Pri Year")</f>
        <v>Pre-Pri Year 1</v>
      </c>
      <c r="C34" s="79">
        <v>0.18</v>
      </c>
      <c r="D34" s="79">
        <v>0.18</v>
      </c>
      <c r="E34" s="79">
        <v>0.18</v>
      </c>
      <c r="G34" s="10" t="str">
        <f>IF($J$5&gt;1,"Female","Female")</f>
        <v>Female</v>
      </c>
      <c r="H34" s="16" t="str">
        <f>IF($J$5&gt;1,"Pre-Pri Year 1","Pre-Pri Year")</f>
        <v>Pre-Pri Year 1</v>
      </c>
      <c r="I34" s="79">
        <v>0.13</v>
      </c>
      <c r="J34" s="79">
        <v>0.13</v>
      </c>
      <c r="K34" s="79">
        <v>0.13</v>
      </c>
    </row>
    <row r="35" spans="1:13" x14ac:dyDescent="0.3">
      <c r="A35" s="10" t="str">
        <f>IF($J$5&gt;1,"Female","")</f>
        <v>Female</v>
      </c>
      <c r="B35" s="16" t="str">
        <f>IF($J$5&gt;1,"Pre-Pri Year 2","")</f>
        <v>Pre-Pri Year 2</v>
      </c>
      <c r="C35" s="79">
        <v>0.16</v>
      </c>
      <c r="D35" s="79">
        <v>0.16</v>
      </c>
      <c r="E35" s="79">
        <v>0.16</v>
      </c>
      <c r="G35" s="10" t="str">
        <f>IF($J$5&gt;1,"Female","")</f>
        <v>Female</v>
      </c>
      <c r="H35" s="16" t="str">
        <f>IF($J$5&gt;1,"Pre-Pri Year 2","")</f>
        <v>Pre-Pri Year 2</v>
      </c>
      <c r="I35" s="79">
        <v>0.04</v>
      </c>
      <c r="J35" s="79">
        <v>0.04</v>
      </c>
      <c r="K35" s="79">
        <v>0.04</v>
      </c>
    </row>
    <row r="36" spans="1:13" x14ac:dyDescent="0.3">
      <c r="A36" s="10" t="str">
        <f>IF($J$5=3,"Female","")</f>
        <v>Female</v>
      </c>
      <c r="B36" s="16" t="str">
        <f>IF($J$5=3,"Pre-Pri Year 3","")</f>
        <v>Pre-Pri Year 3</v>
      </c>
      <c r="C36" s="79">
        <v>0.14000000000000001</v>
      </c>
      <c r="D36" s="79">
        <v>0.14000000000000001</v>
      </c>
      <c r="E36" s="79">
        <v>0.14000000000000001</v>
      </c>
      <c r="G36" s="10" t="str">
        <f>IF($J$5=3,"Female","")</f>
        <v>Female</v>
      </c>
      <c r="H36" s="16" t="str">
        <f>IF($J$5=3,"Pre-Pri Year 3","")</f>
        <v>Pre-Pri Year 3</v>
      </c>
      <c r="I36" s="79">
        <v>0.05</v>
      </c>
      <c r="J36" s="79">
        <v>0.05</v>
      </c>
      <c r="K36" s="79">
        <v>0.05</v>
      </c>
    </row>
    <row r="37" spans="1:13" x14ac:dyDescent="0.3">
      <c r="A37" s="62" t="str">
        <f>IF($J$5=1,"Note: Do not enter data in rows 32, 33, 35 and 36; delete any existing data", IF($J$5=2,"Note: Do not enter data in rows 33 and 36; delete any existing data",""))</f>
        <v/>
      </c>
      <c r="G37" s="62" t="str">
        <f>IF($J$5=1,"Note: Do not enter data in rows 32, 33, 35 and 36; delete any existing data", IF($J$5=2,"Note: Do not enter data in rows 33 and 36; delete any existing data",""))</f>
        <v/>
      </c>
      <c r="M37" s="62"/>
    </row>
    <row r="38" spans="1:13" x14ac:dyDescent="0.3">
      <c r="A38" s="61"/>
    </row>
    <row r="39" spans="1:13" x14ac:dyDescent="0.3">
      <c r="A39" s="4" t="s">
        <v>213</v>
      </c>
      <c r="H39" s="4" t="s">
        <v>214</v>
      </c>
    </row>
    <row r="40" spans="1:13" x14ac:dyDescent="0.3">
      <c r="A40" s="4"/>
      <c r="H40" s="4"/>
    </row>
    <row r="41" spans="1:13" x14ac:dyDescent="0.3">
      <c r="C41" s="95">
        <f>F5</f>
        <v>2021</v>
      </c>
      <c r="D41" s="95"/>
      <c r="E41" s="95"/>
      <c r="F41" s="95"/>
      <c r="J41" s="95">
        <f>F5</f>
        <v>2021</v>
      </c>
      <c r="K41" s="95"/>
      <c r="L41" s="95"/>
      <c r="M41" s="95"/>
    </row>
    <row r="42" spans="1:13" x14ac:dyDescent="0.3">
      <c r="A42" s="10" t="s">
        <v>124</v>
      </c>
      <c r="B42" s="43" t="s">
        <v>51</v>
      </c>
      <c r="C42" s="43" t="s">
        <v>27</v>
      </c>
      <c r="D42" s="43" t="s">
        <v>120</v>
      </c>
      <c r="E42" s="10" t="s">
        <v>82</v>
      </c>
      <c r="F42" s="10" t="s">
        <v>121</v>
      </c>
      <c r="H42" s="10" t="s">
        <v>124</v>
      </c>
      <c r="I42" s="43" t="s">
        <v>51</v>
      </c>
      <c r="J42" s="43" t="s">
        <v>27</v>
      </c>
      <c r="K42" s="43" t="s">
        <v>120</v>
      </c>
      <c r="L42" s="10" t="s">
        <v>82</v>
      </c>
      <c r="M42" s="10" t="s">
        <v>121</v>
      </c>
    </row>
    <row r="43" spans="1:13" x14ac:dyDescent="0.3">
      <c r="A43" s="10" t="str">
        <f>IF($J$5&gt;1,"Pre-Pri Year 1","Pre-Pri Year")</f>
        <v>Pre-Pri Year 1</v>
      </c>
      <c r="B43" s="16" t="str">
        <f>IF($J$5&gt;1,"Male","Male")</f>
        <v>Male</v>
      </c>
      <c r="C43" s="16" t="str">
        <f>IF($J$5&gt;1,"3","3-5")</f>
        <v>3</v>
      </c>
      <c r="D43" s="65">
        <v>59055</v>
      </c>
      <c r="E43" s="65">
        <v>84454</v>
      </c>
      <c r="F43" s="65">
        <v>24512</v>
      </c>
      <c r="H43" s="10" t="str">
        <f>IF($J$5&gt;1,"Pre-Pri Year 1","Pre-Pri Year")</f>
        <v>Pre-Pri Year 1</v>
      </c>
      <c r="I43" s="16" t="str">
        <f>IF($J$5&gt;1,"Male","Male")</f>
        <v>Male</v>
      </c>
      <c r="J43" s="16" t="str">
        <f>IF($J$5&gt;1,"3","3-5")</f>
        <v>3</v>
      </c>
      <c r="K43" s="65">
        <v>12</v>
      </c>
      <c r="L43" s="65">
        <v>78</v>
      </c>
      <c r="M43" s="65">
        <v>5</v>
      </c>
    </row>
    <row r="44" spans="1:13" x14ac:dyDescent="0.3">
      <c r="A44" s="10" t="str">
        <f>IF($J$5&gt;1,"Pre-Pri Year 2","")</f>
        <v>Pre-Pri Year 2</v>
      </c>
      <c r="B44" s="16" t="str">
        <f>IF($J$5&gt;1,"Male","")</f>
        <v>Male</v>
      </c>
      <c r="C44" s="16" t="str">
        <f>IF($J$5&gt;1,"4","")</f>
        <v>4</v>
      </c>
      <c r="D44" s="65">
        <v>74511</v>
      </c>
      <c r="E44" s="65">
        <v>74512</v>
      </c>
      <c r="F44" s="65">
        <v>32512</v>
      </c>
      <c r="H44" s="10" t="str">
        <f>IF($J$5&gt;1,"Pre-Pri Year 2","")</f>
        <v>Pre-Pri Year 2</v>
      </c>
      <c r="I44" s="16" t="str">
        <f>IF($J$5&gt;1,"Male","")</f>
        <v>Male</v>
      </c>
      <c r="J44" s="16" t="str">
        <f>IF($J$5&gt;1,"4","")</f>
        <v>4</v>
      </c>
      <c r="K44" s="65">
        <v>54</v>
      </c>
      <c r="L44" s="65">
        <v>45</v>
      </c>
      <c r="M44" s="65">
        <v>4</v>
      </c>
    </row>
    <row r="45" spans="1:13" x14ac:dyDescent="0.3">
      <c r="A45" s="10" t="str">
        <f>IF($J$5=3,"Pre-Pri Year 3","")</f>
        <v>Pre-Pri Year 3</v>
      </c>
      <c r="B45" s="16" t="str">
        <f>IF($J$5=3,"Male","")</f>
        <v>Male</v>
      </c>
      <c r="C45" s="16" t="str">
        <f>IF($J$5=3,"5","")</f>
        <v>5</v>
      </c>
      <c r="D45" s="65">
        <v>91132</v>
      </c>
      <c r="E45" s="65">
        <v>50522</v>
      </c>
      <c r="F45" s="65">
        <v>45914</v>
      </c>
      <c r="H45" s="10" t="str">
        <f>IF($J$5=3,"Pre-Pri Year 3","")</f>
        <v>Pre-Pri Year 3</v>
      </c>
      <c r="I45" s="16" t="str">
        <f>IF($J$5=3,"Male","")</f>
        <v>Male</v>
      </c>
      <c r="J45" s="16" t="str">
        <f>IF($J$5=3,"5","")</f>
        <v>5</v>
      </c>
      <c r="K45" s="65">
        <v>14</v>
      </c>
      <c r="L45" s="65">
        <v>24</v>
      </c>
      <c r="M45" s="65">
        <v>11</v>
      </c>
    </row>
    <row r="46" spans="1:13" x14ac:dyDescent="0.3">
      <c r="A46" s="10" t="str">
        <f>IF($J$5&gt;1,"Pre-Pri Year 1","Pre-Pri Year")</f>
        <v>Pre-Pri Year 1</v>
      </c>
      <c r="B46" s="16" t="str">
        <f>IF($J$5&gt;1,"Female","Female")</f>
        <v>Female</v>
      </c>
      <c r="C46" s="16" t="str">
        <f>IF($J$5&gt;1,"3","3-5")</f>
        <v>3</v>
      </c>
      <c r="D46" s="65">
        <v>41552</v>
      </c>
      <c r="E46" s="65">
        <v>76211</v>
      </c>
      <c r="F46" s="65">
        <v>32519</v>
      </c>
      <c r="H46" s="10" t="str">
        <f>IF($J$5&gt;1,"Pre-Pri Year 1","Pre-Pri Year")</f>
        <v>Pre-Pri Year 1</v>
      </c>
      <c r="I46" s="16" t="str">
        <f>IF($J$5&gt;1,"Female","Female")</f>
        <v>Female</v>
      </c>
      <c r="J46" s="16" t="str">
        <f>IF($J$5&gt;1,"3","3-5")</f>
        <v>3</v>
      </c>
      <c r="K46" s="65">
        <v>19</v>
      </c>
      <c r="L46" s="65">
        <v>56</v>
      </c>
      <c r="M46" s="65">
        <v>14</v>
      </c>
    </row>
    <row r="47" spans="1:13" x14ac:dyDescent="0.3">
      <c r="A47" s="10" t="str">
        <f>IF($J$5&gt;1,"Pre-Pri Year 2","")</f>
        <v>Pre-Pri Year 2</v>
      </c>
      <c r="B47" s="16" t="str">
        <f>IF($J$5&gt;1,"Female","")</f>
        <v>Female</v>
      </c>
      <c r="C47" s="16" t="str">
        <f>IF($J$5&gt;1,"4","")</f>
        <v>4</v>
      </c>
      <c r="D47" s="65">
        <v>65485</v>
      </c>
      <c r="E47" s="65">
        <v>69781</v>
      </c>
      <c r="F47" s="65">
        <v>45199</v>
      </c>
      <c r="H47" s="10" t="str">
        <f>IF($J$5&gt;1,"Pre-Pri Year 2","")</f>
        <v>Pre-Pri Year 2</v>
      </c>
      <c r="I47" s="16" t="str">
        <f>IF($J$5&gt;1,"Female","")</f>
        <v>Female</v>
      </c>
      <c r="J47" s="16" t="str">
        <f>IF($J$5&gt;1,"4","")</f>
        <v>4</v>
      </c>
      <c r="K47" s="65">
        <v>21</v>
      </c>
      <c r="L47" s="65">
        <v>18</v>
      </c>
      <c r="M47" s="65">
        <v>21</v>
      </c>
    </row>
    <row r="48" spans="1:13" x14ac:dyDescent="0.3">
      <c r="A48" s="10" t="str">
        <f>IF($J$5=3,"Pre-Pri Year 3","")</f>
        <v>Pre-Pri Year 3</v>
      </c>
      <c r="B48" s="16" t="str">
        <f>IF($J$5=3,"Female","")</f>
        <v>Female</v>
      </c>
      <c r="C48" s="16" t="str">
        <f>IF($J$5=3,"5","")</f>
        <v>5</v>
      </c>
      <c r="D48" s="65">
        <v>74451</v>
      </c>
      <c r="E48" s="65">
        <v>95812</v>
      </c>
      <c r="F48" s="65">
        <v>15558</v>
      </c>
      <c r="H48" s="10" t="str">
        <f>IF($J$5=3,"Pre-Pri Year 3","")</f>
        <v>Pre-Pri Year 3</v>
      </c>
      <c r="I48" s="16" t="str">
        <f>IF($J$5=3,"Female","")</f>
        <v>Female</v>
      </c>
      <c r="J48" s="16" t="str">
        <f>IF($J$5=3,"5","")</f>
        <v>5</v>
      </c>
      <c r="K48" s="65">
        <v>18</v>
      </c>
      <c r="L48" s="65">
        <v>24</v>
      </c>
      <c r="M48" s="65">
        <v>9</v>
      </c>
    </row>
    <row r="49" spans="1:19" x14ac:dyDescent="0.3">
      <c r="A49" s="62" t="str">
        <f>IF($J$5=1,"Note: Do not enter data in rows 44, 45, 47 and 48; delete any existing data", IF($J$5=2,"Note: Do not enter data in rows 45 and 48; delete any existing data",""))</f>
        <v/>
      </c>
      <c r="H49" s="62" t="str">
        <f>IF($J$5=1,"Note: Do not enter data in rows 44, 45, 47 and 48; delete any existing data", IF($J$5=2,"Note: Do not enter data in rows 45 and 48; delete any existing data",""))</f>
        <v/>
      </c>
    </row>
    <row r="50" spans="1:19" x14ac:dyDescent="0.3">
      <c r="A50" s="3" t="str">
        <f>"Baseline "&amp;Semantics!B6&amp;"s and "&amp;Semantics!B7&amp;"s Data"</f>
        <v>Baseline Teachers and Caregivers Data</v>
      </c>
    </row>
    <row r="51" spans="1:19" x14ac:dyDescent="0.3">
      <c r="A51" s="4" t="str">
        <f>Semantics!B6&amp;"s in Public Schools"</f>
        <v>Teachers in Public Schools</v>
      </c>
      <c r="B51" s="3"/>
      <c r="F51" s="76" t="str">
        <f>"Skilled &amp; Unskilled "&amp;Semantics!B6&amp;"s in Public Schools"</f>
        <v>Skilled &amp; Unskilled Teachers in Public Schools</v>
      </c>
      <c r="G51" s="3"/>
      <c r="K51" s="4" t="str">
        <f>Semantics!B7&amp;"s in Public Schools"</f>
        <v>Caregivers in Public Schools</v>
      </c>
      <c r="L51" s="3"/>
      <c r="P51" s="4" t="s">
        <v>215</v>
      </c>
      <c r="Q51" s="3"/>
    </row>
    <row r="52" spans="1:19" x14ac:dyDescent="0.3">
      <c r="A52" s="3"/>
      <c r="B52" s="3"/>
      <c r="F52" s="3"/>
      <c r="G52" s="3"/>
      <c r="K52" s="3"/>
      <c r="L52" s="3"/>
      <c r="P52" s="3"/>
      <c r="Q52" s="3"/>
    </row>
    <row r="53" spans="1:19" x14ac:dyDescent="0.3">
      <c r="C53" s="95">
        <f>F5</f>
        <v>2021</v>
      </c>
      <c r="D53" s="95"/>
      <c r="H53" s="95">
        <f>F5</f>
        <v>2021</v>
      </c>
      <c r="I53" s="95"/>
      <c r="M53" s="95">
        <f>F5</f>
        <v>2021</v>
      </c>
      <c r="N53" s="95"/>
      <c r="R53" s="95" t="str">
        <f>K5</f>
        <v>years</v>
      </c>
      <c r="S53" s="95"/>
    </row>
    <row r="54" spans="1:19" x14ac:dyDescent="0.3">
      <c r="A54" s="10" t="s">
        <v>124</v>
      </c>
      <c r="B54" s="10" t="s">
        <v>51</v>
      </c>
      <c r="C54" s="10" t="s">
        <v>125</v>
      </c>
      <c r="D54" s="44" t="s">
        <v>126</v>
      </c>
      <c r="F54" s="10" t="s">
        <v>124</v>
      </c>
      <c r="G54" s="10" t="s">
        <v>51</v>
      </c>
      <c r="H54" s="10" t="s">
        <v>216</v>
      </c>
      <c r="I54" s="44" t="s">
        <v>217</v>
      </c>
      <c r="K54" s="10" t="s">
        <v>124</v>
      </c>
      <c r="L54" s="10" t="s">
        <v>51</v>
      </c>
      <c r="M54" s="10" t="s">
        <v>125</v>
      </c>
      <c r="N54" s="44" t="s">
        <v>126</v>
      </c>
      <c r="P54" s="10" t="s">
        <v>124</v>
      </c>
      <c r="Q54" s="10" t="s">
        <v>51</v>
      </c>
      <c r="R54" s="10" t="s">
        <v>125</v>
      </c>
      <c r="S54" s="44" t="s">
        <v>126</v>
      </c>
    </row>
    <row r="55" spans="1:19" x14ac:dyDescent="0.3">
      <c r="A55" s="10" t="str">
        <f>IF($J$5&gt;1,"Pre-Pri Year 1","Pre-Pri Year")</f>
        <v>Pre-Pri Year 1</v>
      </c>
      <c r="B55" s="16" t="str">
        <f>IF($J$5&gt;1,"Male","Male")</f>
        <v>Male</v>
      </c>
      <c r="C55" s="65">
        <v>1251</v>
      </c>
      <c r="D55" s="65">
        <v>255</v>
      </c>
      <c r="F55" s="10" t="str">
        <f>IF($J$5&gt;1,"Pre-Pri Year 1","Pre-Pri Year")</f>
        <v>Pre-Pri Year 1</v>
      </c>
      <c r="G55" s="16" t="str">
        <f>IF($J$5&gt;1,"Male","Male")</f>
        <v>Male</v>
      </c>
      <c r="H55" s="65">
        <v>1015</v>
      </c>
      <c r="I55" s="80">
        <f>C55-H55</f>
        <v>236</v>
      </c>
      <c r="K55" s="10" t="str">
        <f>IF($J$5&gt;1,"Pre-Pri Year 1","Pre-Pri Year")</f>
        <v>Pre-Pri Year 1</v>
      </c>
      <c r="L55" s="16" t="str">
        <f>IF($J$5&gt;1,"Male","Male")</f>
        <v>Male</v>
      </c>
      <c r="M55" s="65">
        <v>1251</v>
      </c>
      <c r="N55" s="65">
        <v>255</v>
      </c>
      <c r="P55" s="10" t="str">
        <f>IF($J$5&gt;1,"Pre-Pri Year 1","Pre-Pri Year")</f>
        <v>Pre-Pri Year 1</v>
      </c>
      <c r="Q55" s="16" t="str">
        <f>IF($J$5&gt;1,"Male","Male")</f>
        <v>Male</v>
      </c>
      <c r="R55" s="65">
        <v>5</v>
      </c>
      <c r="S55" s="65">
        <v>110</v>
      </c>
    </row>
    <row r="56" spans="1:19" x14ac:dyDescent="0.3">
      <c r="A56" s="10" t="str">
        <f>IF($J$5&gt;1,"Pre-Pri Year 2","")</f>
        <v>Pre-Pri Year 2</v>
      </c>
      <c r="B56" s="16" t="str">
        <f>IF($J$5&gt;1,"Male","")</f>
        <v>Male</v>
      </c>
      <c r="C56" s="65">
        <v>1754</v>
      </c>
      <c r="D56" s="65">
        <v>215</v>
      </c>
      <c r="F56" s="10" t="str">
        <f>IF($J$5&gt;1,"Pre-Pri Year 2","")</f>
        <v>Pre-Pri Year 2</v>
      </c>
      <c r="G56" s="16" t="str">
        <f>IF($J$5&gt;1,"Male","")</f>
        <v>Male</v>
      </c>
      <c r="H56" s="65">
        <v>1545</v>
      </c>
      <c r="I56" s="80">
        <f t="shared" ref="I56:I60" si="0">C56-H56</f>
        <v>209</v>
      </c>
      <c r="K56" s="10" t="str">
        <f>IF($J$5&gt;1,"Pre-Pri Year 2","")</f>
        <v>Pre-Pri Year 2</v>
      </c>
      <c r="L56" s="16" t="str">
        <f>IF($J$5&gt;1,"Male","")</f>
        <v>Male</v>
      </c>
      <c r="M56" s="65">
        <v>1754</v>
      </c>
      <c r="N56" s="65">
        <v>215</v>
      </c>
      <c r="P56" s="10" t="str">
        <f>IF($J$5&gt;1,"Pre-Pri Year 2","")</f>
        <v>Pre-Pri Year 2</v>
      </c>
      <c r="Q56" s="16" t="str">
        <f>IF($J$5&gt;1,"Male","")</f>
        <v>Male</v>
      </c>
      <c r="R56" s="65">
        <v>5</v>
      </c>
      <c r="S56" s="65">
        <v>110</v>
      </c>
    </row>
    <row r="57" spans="1:19" x14ac:dyDescent="0.3">
      <c r="A57" s="10" t="str">
        <f>IF($J$5=3,"Pre-Pri Year 3","")</f>
        <v>Pre-Pri Year 3</v>
      </c>
      <c r="B57" s="16" t="str">
        <f>IF($J$5=3,"Male","")</f>
        <v>Male</v>
      </c>
      <c r="C57" s="65">
        <v>1125</v>
      </c>
      <c r="D57" s="65">
        <v>145</v>
      </c>
      <c r="F57" s="10" t="str">
        <f>IF($J$5=3,"Pre-Pri Year 3","")</f>
        <v>Pre-Pri Year 3</v>
      </c>
      <c r="G57" s="16" t="str">
        <f>IF($J$5=3,"Male","")</f>
        <v>Male</v>
      </c>
      <c r="H57" s="65">
        <v>1026</v>
      </c>
      <c r="I57" s="80">
        <f t="shared" si="0"/>
        <v>99</v>
      </c>
      <c r="K57" s="10" t="str">
        <f>IF($J$5=3,"Pre-Pri Year 3","")</f>
        <v>Pre-Pri Year 3</v>
      </c>
      <c r="L57" s="16" t="str">
        <f>IF($J$5=3,"Male","")</f>
        <v>Male</v>
      </c>
      <c r="M57" s="65">
        <v>1125</v>
      </c>
      <c r="N57" s="65">
        <v>145</v>
      </c>
      <c r="P57" s="10" t="str">
        <f>IF($J$5=3,"Pre-Pri Year 3","")</f>
        <v>Pre-Pri Year 3</v>
      </c>
      <c r="Q57" s="16" t="str">
        <f>IF($J$5=3,"Male","")</f>
        <v>Male</v>
      </c>
      <c r="R57" s="65">
        <v>5</v>
      </c>
      <c r="S57" s="65">
        <v>110</v>
      </c>
    </row>
    <row r="58" spans="1:19" x14ac:dyDescent="0.3">
      <c r="A58" s="10" t="str">
        <f>IF($J$5&gt;1,"Pre-Pri Year 1","Pre-Pri Year")</f>
        <v>Pre-Pri Year 1</v>
      </c>
      <c r="B58" s="16" t="str">
        <f>IF($J$5&gt;1,"Female","Female")</f>
        <v>Female</v>
      </c>
      <c r="C58" s="65">
        <v>756</v>
      </c>
      <c r="D58" s="65">
        <v>458</v>
      </c>
      <c r="F58" s="10" t="str">
        <f>IF($J$5&gt;1,"Pre-Pri Year 1","Pre-Pri Year")</f>
        <v>Pre-Pri Year 1</v>
      </c>
      <c r="G58" s="16" t="str">
        <f>IF($J$5&gt;1,"Female","Female")</f>
        <v>Female</v>
      </c>
      <c r="H58" s="65">
        <v>715</v>
      </c>
      <c r="I58" s="80">
        <f t="shared" si="0"/>
        <v>41</v>
      </c>
      <c r="K58" s="10" t="str">
        <f>IF($J$5&gt;1,"Pre-Pri Year 1","Pre-Pri Year")</f>
        <v>Pre-Pri Year 1</v>
      </c>
      <c r="L58" s="16" t="str">
        <f>IF($J$5&gt;1,"Female","Female")</f>
        <v>Female</v>
      </c>
      <c r="M58" s="65">
        <v>756</v>
      </c>
      <c r="N58" s="65">
        <v>458</v>
      </c>
      <c r="P58" s="10" t="str">
        <f>IF($J$5&gt;1,"Pre-Pri Year 1","Pre-Pri Year")</f>
        <v>Pre-Pri Year 1</v>
      </c>
      <c r="Q58" s="16" t="str">
        <f>IF($J$5&gt;1,"Female","Female")</f>
        <v>Female</v>
      </c>
      <c r="R58" s="65">
        <v>5</v>
      </c>
      <c r="S58" s="65">
        <v>110</v>
      </c>
    </row>
    <row r="59" spans="1:19" x14ac:dyDescent="0.3">
      <c r="A59" s="10" t="str">
        <f>IF($J$5&gt;1,"Pre-Pri Year 2","")</f>
        <v>Pre-Pri Year 2</v>
      </c>
      <c r="B59" s="16" t="str">
        <f>IF($J$5&gt;1,"Female","")</f>
        <v>Female</v>
      </c>
      <c r="C59" s="65">
        <v>456</v>
      </c>
      <c r="D59" s="65">
        <v>412</v>
      </c>
      <c r="F59" s="10" t="str">
        <f>IF($J$5&gt;1,"Pre-Pri Year 2","")</f>
        <v>Pre-Pri Year 2</v>
      </c>
      <c r="G59" s="16" t="str">
        <f>IF($J$5&gt;1,"Female","")</f>
        <v>Female</v>
      </c>
      <c r="H59" s="65">
        <v>345</v>
      </c>
      <c r="I59" s="80">
        <f t="shared" si="0"/>
        <v>111</v>
      </c>
      <c r="K59" s="10" t="str">
        <f>IF($J$5&gt;1,"Pre-Pri Year 2","")</f>
        <v>Pre-Pri Year 2</v>
      </c>
      <c r="L59" s="16" t="str">
        <f>IF($J$5&gt;1,"Female","")</f>
        <v>Female</v>
      </c>
      <c r="M59" s="65">
        <v>456</v>
      </c>
      <c r="N59" s="65">
        <v>412</v>
      </c>
      <c r="P59" s="10" t="str">
        <f>IF($J$5&gt;1,"Pre-Pri Year 2","")</f>
        <v>Pre-Pri Year 2</v>
      </c>
      <c r="Q59" s="16" t="str">
        <f>IF($J$5&gt;1,"Female","")</f>
        <v>Female</v>
      </c>
      <c r="R59" s="65">
        <v>5</v>
      </c>
      <c r="S59" s="65">
        <v>110</v>
      </c>
    </row>
    <row r="60" spans="1:19" x14ac:dyDescent="0.3">
      <c r="A60" s="10" t="str">
        <f>IF($J$5=3,"Pre-Pri Year 3","")</f>
        <v>Pre-Pri Year 3</v>
      </c>
      <c r="B60" s="16" t="str">
        <f>IF($J$5=3,"Female","")</f>
        <v>Female</v>
      </c>
      <c r="C60" s="65">
        <v>854</v>
      </c>
      <c r="D60" s="65">
        <v>215</v>
      </c>
      <c r="F60" s="10" t="str">
        <f>IF($J$5=3,"Pre-Pri Year 3","")</f>
        <v>Pre-Pri Year 3</v>
      </c>
      <c r="G60" s="16" t="str">
        <f>IF($J$5=3,"Female","")</f>
        <v>Female</v>
      </c>
      <c r="H60" s="65">
        <v>811</v>
      </c>
      <c r="I60" s="80">
        <f t="shared" si="0"/>
        <v>43</v>
      </c>
      <c r="K60" s="10" t="str">
        <f>IF($J$5=3,"Pre-Pri Year 3","")</f>
        <v>Pre-Pri Year 3</v>
      </c>
      <c r="L60" s="16" t="str">
        <f>IF($J$5=3,"Female","")</f>
        <v>Female</v>
      </c>
      <c r="M60" s="65">
        <v>854</v>
      </c>
      <c r="N60" s="65">
        <v>215</v>
      </c>
      <c r="P60" s="10" t="str">
        <f>IF($J$5=3,"Pre-Pri Year 3","")</f>
        <v>Pre-Pri Year 3</v>
      </c>
      <c r="Q60" s="16" t="str">
        <f>IF($J$5=3,"Female","")</f>
        <v>Female</v>
      </c>
      <c r="R60" s="65">
        <v>5</v>
      </c>
      <c r="S60" s="65">
        <v>110</v>
      </c>
    </row>
    <row r="61" spans="1:19" x14ac:dyDescent="0.3">
      <c r="A61" s="62" t="str">
        <f>IF($J$5=1,"Note: Do not enter data in rows 56, 57, 59 and 60; delete any existing data", IF($J$5=2,"Note: Do not enter data in rows 57 and 60; delete any existing data",""))</f>
        <v/>
      </c>
      <c r="F61" s="62" t="str">
        <f>IF($J$5=1,"Note: Do not enter data in rows 56, 57, 59 and 60; delete any existing data", IF($J$5=2,"Note: Do not enter data in rows 57 and 60; delete any existing data",""))</f>
        <v/>
      </c>
      <c r="K61" s="62" t="str">
        <f>IF($J$5=1,"Note: Do not enter data in rows 56, 57, 59 and 60; delete any existing data", IF($J$5=2,"Note: Do not enter data in rows 57 and 60; delete any existing data",""))</f>
        <v/>
      </c>
      <c r="L61" s="62"/>
      <c r="Q61" s="62" t="str">
        <f>IF($J$5=1,"Note: Do not enter data in rows 56, 57, 59 and 60; delete any existing data", IF($J$5=2,"Note: Do not enter data in rows 57 and 60; delete any existing data",""))</f>
        <v/>
      </c>
    </row>
    <row r="62" spans="1:19" x14ac:dyDescent="0.3">
      <c r="A62" s="3" t="str">
        <f>"Baseline "&amp;Semantics!B8&amp;"s, "&amp;Semantics!B9&amp;"s, and "&amp;Semantics!B10&amp;"s Data"</f>
        <v>Baseline Classrooms, ECE Kits, and Reading Corners Data</v>
      </c>
    </row>
    <row r="63" spans="1:19" x14ac:dyDescent="0.3">
      <c r="A63" s="4" t="str">
        <f>Semantics!B8&amp;"s in Public Schools (single grade)"</f>
        <v>Classrooms in Public Schools (single grade)</v>
      </c>
      <c r="B63" s="3"/>
      <c r="F63" s="4" t="str">
        <f>Semantics!B8&amp;"s in Public Schools (multigrade)"</f>
        <v>Classrooms in Public Schools (multigrade)</v>
      </c>
      <c r="G63" s="3"/>
      <c r="K63" s="4" t="str">
        <f>Semantics!B9&amp;"s in Public Schools"</f>
        <v>ECE Kits in Public Schools</v>
      </c>
      <c r="L63" s="3"/>
      <c r="P63" s="4" t="str">
        <f>Semantics!B10&amp;"s in Public Schools"</f>
        <v>Reading Corners in Public Schools</v>
      </c>
      <c r="Q63" s="3"/>
    </row>
    <row r="64" spans="1:19" x14ac:dyDescent="0.3">
      <c r="A64" s="3"/>
      <c r="B64" s="3"/>
      <c r="F64" s="3"/>
      <c r="G64" s="3"/>
      <c r="K64" s="3"/>
      <c r="L64" s="3"/>
      <c r="P64" s="3"/>
      <c r="Q64" s="3"/>
    </row>
    <row r="65" spans="1:19" x14ac:dyDescent="0.3">
      <c r="C65" s="95">
        <f>F5</f>
        <v>2021</v>
      </c>
      <c r="D65" s="95"/>
      <c r="H65" s="95">
        <f>F5</f>
        <v>2021</v>
      </c>
      <c r="I65" s="95"/>
      <c r="M65" s="95">
        <f>F5</f>
        <v>2021</v>
      </c>
      <c r="N65" s="95"/>
      <c r="R65" s="95">
        <f>F5</f>
        <v>2021</v>
      </c>
      <c r="S65" s="95"/>
    </row>
    <row r="66" spans="1:19" x14ac:dyDescent="0.3">
      <c r="A66" s="10" t="s">
        <v>124</v>
      </c>
      <c r="B66" s="10" t="s">
        <v>51</v>
      </c>
      <c r="C66" s="10" t="s">
        <v>125</v>
      </c>
      <c r="D66" s="44" t="s">
        <v>126</v>
      </c>
      <c r="F66" s="10" t="s">
        <v>124</v>
      </c>
      <c r="G66" s="10" t="s">
        <v>51</v>
      </c>
      <c r="H66" s="10" t="s">
        <v>125</v>
      </c>
      <c r="I66" s="44" t="s">
        <v>126</v>
      </c>
      <c r="K66" s="10" t="s">
        <v>124</v>
      </c>
      <c r="L66" s="10" t="s">
        <v>51</v>
      </c>
      <c r="M66" s="10" t="s">
        <v>125</v>
      </c>
      <c r="N66" s="44" t="s">
        <v>126</v>
      </c>
      <c r="P66" s="10" t="s">
        <v>124</v>
      </c>
      <c r="Q66" s="10" t="s">
        <v>51</v>
      </c>
      <c r="R66" s="10" t="s">
        <v>125</v>
      </c>
      <c r="S66" s="44" t="s">
        <v>126</v>
      </c>
    </row>
    <row r="67" spans="1:19" x14ac:dyDescent="0.3">
      <c r="A67" s="10" t="str">
        <f>IF($J$5&gt;1,"Pre-Pri Year 1","Pre-Pri Year")</f>
        <v>Pre-Pri Year 1</v>
      </c>
      <c r="B67" s="16" t="str">
        <f>IF($J$5&gt;1,"Male","Male")</f>
        <v>Male</v>
      </c>
      <c r="C67" s="65">
        <v>756</v>
      </c>
      <c r="D67" s="65">
        <v>255</v>
      </c>
      <c r="F67" s="10" t="str">
        <f>IF($J$5&gt;1,"Pre-Pri Year 1","Pre-Pri Year")</f>
        <v>Pre-Pri Year 1</v>
      </c>
      <c r="G67" s="16" t="str">
        <f>IF($J$5&gt;1,"Male","Male")</f>
        <v>Male</v>
      </c>
      <c r="H67" s="65">
        <v>154</v>
      </c>
      <c r="I67" s="80">
        <f>H67</f>
        <v>154</v>
      </c>
      <c r="K67" s="10" t="str">
        <f>IF($J$5&gt;1,"Pre-Pri Year 1","Pre-Pri Year")</f>
        <v>Pre-Pri Year 1</v>
      </c>
      <c r="L67" s="16" t="str">
        <f>IF($J$5&gt;1,"Male","Male")</f>
        <v>Male</v>
      </c>
      <c r="M67" s="65">
        <v>756</v>
      </c>
      <c r="N67" s="65">
        <v>255</v>
      </c>
      <c r="P67" s="10" t="str">
        <f>IF($J$5&gt;1,"Pre-Pri Year 1","Pre-Pri Year")</f>
        <v>Pre-Pri Year 1</v>
      </c>
      <c r="Q67" s="16" t="str">
        <f>IF($J$5&gt;1,"Male","Male")</f>
        <v>Male</v>
      </c>
      <c r="R67" s="65">
        <v>756</v>
      </c>
      <c r="S67" s="65">
        <v>255</v>
      </c>
    </row>
    <row r="68" spans="1:19" x14ac:dyDescent="0.3">
      <c r="A68" s="10" t="str">
        <f>IF($J$5&gt;1,"Pre-Pri Year 2","")</f>
        <v>Pre-Pri Year 2</v>
      </c>
      <c r="B68" s="16" t="str">
        <f>IF($J$5&gt;1,"Male","")</f>
        <v>Male</v>
      </c>
      <c r="C68" s="65">
        <v>456</v>
      </c>
      <c r="D68" s="65">
        <v>215</v>
      </c>
      <c r="F68" s="10" t="str">
        <f>IF($J$5&gt;1,"Pre-Pri Year 2","")</f>
        <v>Pre-Pri Year 2</v>
      </c>
      <c r="G68" s="16" t="str">
        <f>IF($J$5&gt;1,"Male","")</f>
        <v>Male</v>
      </c>
      <c r="H68" s="65">
        <v>145</v>
      </c>
      <c r="I68" s="80">
        <f t="shared" ref="I68:I72" si="1">H68</f>
        <v>145</v>
      </c>
      <c r="K68" s="10" t="str">
        <f>IF($J$5&gt;1,"Pre-Pri Year 2","")</f>
        <v>Pre-Pri Year 2</v>
      </c>
      <c r="L68" s="16" t="str">
        <f>IF($J$5&gt;1,"Male","")</f>
        <v>Male</v>
      </c>
      <c r="M68" s="65">
        <v>456</v>
      </c>
      <c r="N68" s="65">
        <v>215</v>
      </c>
      <c r="P68" s="10" t="str">
        <f>IF($J$5&gt;1,"Pre-Pri Year 2","")</f>
        <v>Pre-Pri Year 2</v>
      </c>
      <c r="Q68" s="16" t="str">
        <f>IF($J$5&gt;1,"Male","")</f>
        <v>Male</v>
      </c>
      <c r="R68" s="65">
        <v>456</v>
      </c>
      <c r="S68" s="65">
        <v>215</v>
      </c>
    </row>
    <row r="69" spans="1:19" x14ac:dyDescent="0.3">
      <c r="A69" s="10" t="str">
        <f>IF($J$5=3,"Pre-Pri Year 3","")</f>
        <v>Pre-Pri Year 3</v>
      </c>
      <c r="B69" s="16" t="str">
        <f>IF($J$5=3,"Male","")</f>
        <v>Male</v>
      </c>
      <c r="C69" s="65">
        <v>852</v>
      </c>
      <c r="D69" s="65">
        <v>145</v>
      </c>
      <c r="F69" s="10" t="str">
        <f>IF($J$5=3,"Pre-Pri Year 3","")</f>
        <v>Pre-Pri Year 3</v>
      </c>
      <c r="G69" s="16" t="str">
        <f>IF($J$5=3,"Male","")</f>
        <v>Male</v>
      </c>
      <c r="H69" s="65">
        <v>57</v>
      </c>
      <c r="I69" s="80">
        <f t="shared" si="1"/>
        <v>57</v>
      </c>
      <c r="K69" s="10" t="str">
        <f>IF($J$5=3,"Pre-Pri Year 3","")</f>
        <v>Pre-Pri Year 3</v>
      </c>
      <c r="L69" s="16" t="str">
        <f>IF($J$5=3,"Male","")</f>
        <v>Male</v>
      </c>
      <c r="M69" s="65">
        <v>852</v>
      </c>
      <c r="N69" s="65">
        <v>145</v>
      </c>
      <c r="P69" s="10" t="str">
        <f>IF($J$5=3,"Pre-Pri Year 3","")</f>
        <v>Pre-Pri Year 3</v>
      </c>
      <c r="Q69" s="16" t="str">
        <f>IF($J$5=3,"Male","")</f>
        <v>Male</v>
      </c>
      <c r="R69" s="65">
        <v>852</v>
      </c>
      <c r="S69" s="65">
        <v>145</v>
      </c>
    </row>
    <row r="70" spans="1:19" x14ac:dyDescent="0.3">
      <c r="A70" s="10" t="str">
        <f>IF($J$5&gt;1,"Pre-Pri Year 1","Pre-Pri Year")</f>
        <v>Pre-Pri Year 1</v>
      </c>
      <c r="B70" s="16" t="str">
        <f>IF($J$5&gt;1,"Female","Female")</f>
        <v>Female</v>
      </c>
      <c r="C70" s="65">
        <v>645</v>
      </c>
      <c r="D70" s="65">
        <v>458</v>
      </c>
      <c r="F70" s="10" t="str">
        <f>IF($J$5&gt;1,"Pre-Pri Year 1","Pre-Pri Year")</f>
        <v>Pre-Pri Year 1</v>
      </c>
      <c r="G70" s="16" t="str">
        <f>IF($J$5&gt;1,"Female","Female")</f>
        <v>Female</v>
      </c>
      <c r="H70" s="65">
        <v>54</v>
      </c>
      <c r="I70" s="80">
        <f t="shared" si="1"/>
        <v>54</v>
      </c>
      <c r="K70" s="10" t="str">
        <f>IF($J$5&gt;1,"Pre-Pri Year 1","Pre-Pri Year")</f>
        <v>Pre-Pri Year 1</v>
      </c>
      <c r="L70" s="16" t="str">
        <f>IF($J$5&gt;1,"Female","Female")</f>
        <v>Female</v>
      </c>
      <c r="M70" s="65">
        <v>645</v>
      </c>
      <c r="N70" s="65">
        <v>458</v>
      </c>
      <c r="P70" s="10" t="str">
        <f>IF($J$5&gt;1,"Pre-Pri Year 1","Pre-Pri Year")</f>
        <v>Pre-Pri Year 1</v>
      </c>
      <c r="Q70" s="16" t="str">
        <f>IF($J$5&gt;1,"Female","Female")</f>
        <v>Female</v>
      </c>
      <c r="R70" s="65">
        <v>645</v>
      </c>
      <c r="S70" s="65">
        <v>458</v>
      </c>
    </row>
    <row r="71" spans="1:19" x14ac:dyDescent="0.3">
      <c r="A71" s="10" t="str">
        <f>IF($J$5&gt;1,"Pre-Pri Year 2","")</f>
        <v>Pre-Pri Year 2</v>
      </c>
      <c r="B71" s="16" t="str">
        <f>IF($J$5&gt;1,"Female","")</f>
        <v>Female</v>
      </c>
      <c r="C71" s="65">
        <v>398</v>
      </c>
      <c r="D71" s="65">
        <v>412</v>
      </c>
      <c r="F71" s="10" t="str">
        <f>IF($J$5&gt;1,"Pre-Pri Year 2","")</f>
        <v>Pre-Pri Year 2</v>
      </c>
      <c r="G71" s="16" t="str">
        <f>IF($J$5&gt;1,"Female","")</f>
        <v>Female</v>
      </c>
      <c r="H71" s="65">
        <v>85</v>
      </c>
      <c r="I71" s="80">
        <f t="shared" si="1"/>
        <v>85</v>
      </c>
      <c r="K71" s="10" t="str">
        <f>IF($J$5&gt;1,"Pre-Pri Year 2","")</f>
        <v>Pre-Pri Year 2</v>
      </c>
      <c r="L71" s="16" t="str">
        <f>IF($J$5&gt;1,"Female","")</f>
        <v>Female</v>
      </c>
      <c r="M71" s="65">
        <v>398</v>
      </c>
      <c r="N71" s="65">
        <v>412</v>
      </c>
      <c r="P71" s="10" t="str">
        <f>IF($J$5&gt;1,"Pre-Pri Year 2","")</f>
        <v>Pre-Pri Year 2</v>
      </c>
      <c r="Q71" s="16" t="str">
        <f>IF($J$5&gt;1,"Female","")</f>
        <v>Female</v>
      </c>
      <c r="R71" s="65">
        <v>398</v>
      </c>
      <c r="S71" s="65">
        <v>412</v>
      </c>
    </row>
    <row r="72" spans="1:19" x14ac:dyDescent="0.3">
      <c r="A72" s="10" t="str">
        <f>IF($J$5=3,"Pre-Pri Year 3","")</f>
        <v>Pre-Pri Year 3</v>
      </c>
      <c r="B72" s="16" t="str">
        <f>IF($J$5=3,"Female","")</f>
        <v>Female</v>
      </c>
      <c r="C72" s="65">
        <v>726</v>
      </c>
      <c r="D72" s="65">
        <v>215</v>
      </c>
      <c r="F72" s="10" t="str">
        <f>IF($J$5=3,"Pre-Pri Year 3","")</f>
        <v>Pre-Pri Year 3</v>
      </c>
      <c r="G72" s="16" t="str">
        <f>IF($J$5=3,"Female","")</f>
        <v>Female</v>
      </c>
      <c r="H72" s="65">
        <v>46</v>
      </c>
      <c r="I72" s="80">
        <f t="shared" si="1"/>
        <v>46</v>
      </c>
      <c r="K72" s="10" t="str">
        <f>IF($J$5=3,"Pre-Pri Year 3","")</f>
        <v>Pre-Pri Year 3</v>
      </c>
      <c r="L72" s="16" t="str">
        <f>IF($J$5=3,"Female","")</f>
        <v>Female</v>
      </c>
      <c r="M72" s="65">
        <v>726</v>
      </c>
      <c r="N72" s="65">
        <v>215</v>
      </c>
      <c r="P72" s="10" t="str">
        <f>IF($J$5=3,"Pre-Pri Year 3","")</f>
        <v>Pre-Pri Year 3</v>
      </c>
      <c r="Q72" s="16" t="str">
        <f>IF($J$5=3,"Female","")</f>
        <v>Female</v>
      </c>
      <c r="R72" s="65">
        <v>726</v>
      </c>
      <c r="S72" s="65">
        <v>215</v>
      </c>
    </row>
    <row r="73" spans="1:19" x14ac:dyDescent="0.3">
      <c r="A73" s="62" t="str">
        <f>IF($J$5=1,"Note: Do not enter data in rows 68, 69, 71 and 72; delete any existing data", IF($J$5=2,"Note: Do not enter data in rows 69 and 72; delete any existing data",""))</f>
        <v/>
      </c>
      <c r="F73" s="62" t="str">
        <f>IF($J$5=1,"Note: Do not enter data in rows 68, 69, 71 and 72; delete any existing data", IF($J$5=2,"Note: Do not enter data in rows 69 and 72; delete any existing data",""))</f>
        <v/>
      </c>
      <c r="K73" s="62" t="str">
        <f>IF($J$5=1,"Note: Do not enter data in rows 68, 69, 71 and 72; delete any existing data", IF($J$5=2,"Note: Do not enter data in rows 69 and 72; delete any existing data",""))</f>
        <v/>
      </c>
      <c r="L73" s="62"/>
      <c r="Q73" s="62" t="str">
        <f>IF($J$5=1,"Note: Do not enter data in rows 68, 69, 71 and 72; delete any existing data", IF($J$5=2,"Note: Do not enter data in rows 69 and 72; delete any existing data",""))</f>
        <v/>
      </c>
    </row>
    <row r="75" spans="1:19" x14ac:dyDescent="0.3">
      <c r="A75" s="4" t="str">
        <f>"Public Grants to Private and "&amp;Semantics!B11&amp;" Schools"</f>
        <v>Public Grants to Private and Community Schools</v>
      </c>
      <c r="B75" s="3"/>
    </row>
    <row r="77" spans="1:19" x14ac:dyDescent="0.3">
      <c r="A77" s="10" t="s">
        <v>81</v>
      </c>
      <c r="B77" s="10" t="s">
        <v>51</v>
      </c>
      <c r="C77" s="10">
        <v>2021</v>
      </c>
    </row>
    <row r="78" spans="1:19" x14ac:dyDescent="0.3">
      <c r="A78" s="10" t="s">
        <v>82</v>
      </c>
      <c r="B78" s="16" t="s">
        <v>13</v>
      </c>
      <c r="C78" s="65">
        <v>110</v>
      </c>
    </row>
    <row r="79" spans="1:19" x14ac:dyDescent="0.3">
      <c r="A79" s="10" t="s">
        <v>82</v>
      </c>
      <c r="B79" s="16" t="s">
        <v>14</v>
      </c>
      <c r="C79" s="65">
        <v>105</v>
      </c>
    </row>
    <row r="80" spans="1:19" x14ac:dyDescent="0.3">
      <c r="A80" s="10" t="s">
        <v>82</v>
      </c>
      <c r="B80" s="16" t="s">
        <v>18</v>
      </c>
      <c r="C80" s="63">
        <f>C78+C79</f>
        <v>215</v>
      </c>
    </row>
    <row r="81" spans="1:4" x14ac:dyDescent="0.3">
      <c r="A81" s="10" t="s">
        <v>83</v>
      </c>
      <c r="B81" s="16" t="s">
        <v>13</v>
      </c>
      <c r="C81" s="65">
        <v>310</v>
      </c>
    </row>
    <row r="82" spans="1:4" x14ac:dyDescent="0.3">
      <c r="A82" s="10" t="s">
        <v>83</v>
      </c>
      <c r="B82" s="16" t="s">
        <v>14</v>
      </c>
      <c r="C82" s="65">
        <v>505</v>
      </c>
    </row>
    <row r="83" spans="1:4" x14ac:dyDescent="0.3">
      <c r="A83" s="10" t="s">
        <v>83</v>
      </c>
      <c r="B83" s="16" t="s">
        <v>18</v>
      </c>
      <c r="C83" s="63">
        <f>C81+C82</f>
        <v>815</v>
      </c>
    </row>
    <row r="84" spans="1:4" x14ac:dyDescent="0.3">
      <c r="A84" s="25" t="str">
        <f>Semantics!B11</f>
        <v>Community</v>
      </c>
      <c r="B84" s="16" t="s">
        <v>13</v>
      </c>
      <c r="C84" s="65">
        <v>85</v>
      </c>
    </row>
    <row r="85" spans="1:4" x14ac:dyDescent="0.3">
      <c r="A85" s="25" t="str">
        <f>Semantics!B11</f>
        <v>Community</v>
      </c>
      <c r="B85" s="16" t="s">
        <v>14</v>
      </c>
      <c r="C85" s="65">
        <v>70</v>
      </c>
    </row>
    <row r="86" spans="1:4" x14ac:dyDescent="0.3">
      <c r="A86" s="25" t="str">
        <f>Semantics!B11</f>
        <v>Community</v>
      </c>
      <c r="B86" s="16" t="s">
        <v>18</v>
      </c>
      <c r="C86" s="63">
        <f>C84+C85</f>
        <v>155</v>
      </c>
    </row>
    <row r="88" spans="1:4" x14ac:dyDescent="0.3">
      <c r="A88" s="4" t="s">
        <v>127</v>
      </c>
      <c r="B88" s="3"/>
      <c r="C88" s="3"/>
    </row>
    <row r="89" spans="1:4" x14ac:dyDescent="0.3">
      <c r="B89" s="1" t="s">
        <v>128</v>
      </c>
      <c r="C89" s="78" t="s">
        <v>60</v>
      </c>
      <c r="D89" t="s">
        <v>129</v>
      </c>
    </row>
    <row r="90" spans="1:4" x14ac:dyDescent="0.3">
      <c r="C90" s="1"/>
    </row>
    <row r="91" spans="1:4" x14ac:dyDescent="0.3">
      <c r="A91" s="20" t="s">
        <v>56</v>
      </c>
      <c r="B91" s="20" t="s">
        <v>55</v>
      </c>
      <c r="C91" s="20">
        <v>2021</v>
      </c>
    </row>
    <row r="92" spans="1:4" x14ac:dyDescent="0.3">
      <c r="A92" s="10" t="str">
        <f>Semantics!B8&amp;" Construction"</f>
        <v>Classroom Construction</v>
      </c>
      <c r="B92" s="7" t="s">
        <v>67</v>
      </c>
      <c r="C92" s="65">
        <v>7612</v>
      </c>
    </row>
    <row r="93" spans="1:4" x14ac:dyDescent="0.3">
      <c r="A93" s="10" t="str">
        <f>Semantics!B9&amp;"s"</f>
        <v>ECE Kits</v>
      </c>
      <c r="B93" s="7" t="s">
        <v>65</v>
      </c>
      <c r="C93" s="65">
        <v>645</v>
      </c>
    </row>
    <row r="94" spans="1:4" x14ac:dyDescent="0.3">
      <c r="A94" s="10" t="str">
        <f>Semantics!B10&amp;"s"</f>
        <v>Reading Corners</v>
      </c>
      <c r="B94" s="7" t="s">
        <v>66</v>
      </c>
      <c r="C94" s="65">
        <v>2125</v>
      </c>
    </row>
    <row r="95" spans="1:4" x14ac:dyDescent="0.3">
      <c r="A95" s="10" t="str">
        <f>"New "&amp;Semantics!B6&amp;" Salary"</f>
        <v>New Teacher Salary</v>
      </c>
      <c r="B95" s="7" t="s">
        <v>68</v>
      </c>
      <c r="C95" s="65">
        <v>2580</v>
      </c>
    </row>
    <row r="96" spans="1:4" x14ac:dyDescent="0.3">
      <c r="A96" s="10" t="str">
        <f>"Existing "&amp;Semantics!B6&amp;" Salary"</f>
        <v>Existing Teacher Salary</v>
      </c>
      <c r="B96" s="7" t="s">
        <v>68</v>
      </c>
      <c r="C96" s="65">
        <v>3125</v>
      </c>
      <c r="D96" t="s">
        <v>174</v>
      </c>
    </row>
    <row r="97" spans="1:13" x14ac:dyDescent="0.3">
      <c r="A97" s="10" t="str">
        <f>"New "&amp;Semantics!B7&amp;" Salary"</f>
        <v>New Caregiver Salary</v>
      </c>
      <c r="B97" s="7" t="s">
        <v>69</v>
      </c>
      <c r="C97" s="65">
        <v>2220</v>
      </c>
    </row>
    <row r="98" spans="1:13" x14ac:dyDescent="0.3">
      <c r="A98" s="10" t="str">
        <f>"Existing "&amp;Semantics!B7&amp;" Salary"</f>
        <v>Existing Caregiver Salary</v>
      </c>
      <c r="B98" s="7" t="s">
        <v>69</v>
      </c>
      <c r="C98" s="65">
        <v>2745</v>
      </c>
      <c r="D98" t="s">
        <v>174</v>
      </c>
    </row>
    <row r="99" spans="1:13" x14ac:dyDescent="0.3">
      <c r="A99" s="10" t="s">
        <v>226</v>
      </c>
      <c r="B99" s="7" t="s">
        <v>227</v>
      </c>
      <c r="C99" s="65">
        <v>1500</v>
      </c>
    </row>
    <row r="100" spans="1:13" x14ac:dyDescent="0.3">
      <c r="A100" s="10" t="s">
        <v>225</v>
      </c>
      <c r="B100" s="7" t="s">
        <v>227</v>
      </c>
      <c r="C100" s="65">
        <v>1750</v>
      </c>
      <c r="D100" t="s">
        <v>174</v>
      </c>
    </row>
    <row r="101" spans="1:13" x14ac:dyDescent="0.3">
      <c r="A101" s="10" t="s">
        <v>64</v>
      </c>
      <c r="B101" s="7" t="s">
        <v>70</v>
      </c>
      <c r="C101" s="65">
        <v>2400</v>
      </c>
    </row>
    <row r="102" spans="1:13" x14ac:dyDescent="0.3">
      <c r="A102" s="10" t="s">
        <v>218</v>
      </c>
      <c r="B102" s="7" t="s">
        <v>136</v>
      </c>
      <c r="C102" s="65">
        <v>900</v>
      </c>
    </row>
    <row r="103" spans="1:13" x14ac:dyDescent="0.3">
      <c r="A103" s="10" t="s">
        <v>219</v>
      </c>
      <c r="B103" s="7" t="s">
        <v>136</v>
      </c>
      <c r="C103" s="65">
        <v>15</v>
      </c>
    </row>
    <row r="104" spans="1:13" x14ac:dyDescent="0.3">
      <c r="A104" s="10" t="s">
        <v>223</v>
      </c>
      <c r="B104" s="7" t="s">
        <v>137</v>
      </c>
      <c r="C104" s="65">
        <v>200</v>
      </c>
    </row>
    <row r="105" spans="1:13" x14ac:dyDescent="0.3">
      <c r="A105" s="10" t="str">
        <f>Semantics!B8&amp;" "&amp;Semantics!B13&amp;" Cost"</f>
        <v>Classroom O&amp;M Cost</v>
      </c>
      <c r="B105" s="7" t="s">
        <v>163</v>
      </c>
      <c r="C105" s="63">
        <f>5%*C92</f>
        <v>380.6</v>
      </c>
      <c r="D105" s="54" t="s">
        <v>164</v>
      </c>
    </row>
    <row r="106" spans="1:13" x14ac:dyDescent="0.3">
      <c r="A106" s="62" t="s">
        <v>220</v>
      </c>
    </row>
    <row r="108" spans="1:13" x14ac:dyDescent="0.3">
      <c r="A108" s="4" t="s">
        <v>99</v>
      </c>
    </row>
    <row r="110" spans="1:13" x14ac:dyDescent="0.3">
      <c r="A110" s="20" t="s">
        <v>56</v>
      </c>
      <c r="B110" s="56">
        <v>2012</v>
      </c>
      <c r="C110" s="56">
        <v>2013</v>
      </c>
      <c r="D110" s="56">
        <v>2014</v>
      </c>
      <c r="E110" s="56">
        <v>2015</v>
      </c>
      <c r="F110" s="56">
        <v>2016</v>
      </c>
      <c r="G110" s="56">
        <v>2017</v>
      </c>
      <c r="H110" s="56">
        <v>2018</v>
      </c>
      <c r="I110" s="56">
        <v>2019</v>
      </c>
      <c r="J110" s="56">
        <v>2020</v>
      </c>
      <c r="K110" s="56">
        <v>2021</v>
      </c>
      <c r="L110" s="20" t="s">
        <v>234</v>
      </c>
      <c r="M110" s="22" t="s">
        <v>143</v>
      </c>
    </row>
    <row r="111" spans="1:13" x14ac:dyDescent="0.3">
      <c r="A111" s="10" t="str">
        <f>Semantics!B14</f>
        <v>Salary Budget</v>
      </c>
      <c r="B111" s="65">
        <v>115212100</v>
      </c>
      <c r="C111" s="65">
        <v>118215147</v>
      </c>
      <c r="D111" s="65">
        <v>118698542</v>
      </c>
      <c r="E111" s="65">
        <v>119546147</v>
      </c>
      <c r="F111" s="65">
        <v>120147154</v>
      </c>
      <c r="G111" s="65">
        <v>120225458</v>
      </c>
      <c r="H111" s="65">
        <v>122654879</v>
      </c>
      <c r="I111" s="65">
        <v>123457458</v>
      </c>
      <c r="J111" s="65">
        <v>125145365</v>
      </c>
      <c r="K111" s="65">
        <v>128454124</v>
      </c>
      <c r="L111" s="60">
        <f>((K111/B111)^(1/10))-1</f>
        <v>1.0939104356881835E-2</v>
      </c>
    </row>
    <row r="112" spans="1:13" x14ac:dyDescent="0.3">
      <c r="A112" s="10" t="str">
        <f>Semantics!B15</f>
        <v>Non-Salary Budget</v>
      </c>
      <c r="B112" s="65">
        <v>28100148</v>
      </c>
      <c r="C112" s="65">
        <v>28521411</v>
      </c>
      <c r="D112" s="65">
        <v>28745154</v>
      </c>
      <c r="E112" s="65">
        <v>29005486</v>
      </c>
      <c r="F112" s="65">
        <v>29154221</v>
      </c>
      <c r="G112" s="65">
        <v>29145654</v>
      </c>
      <c r="H112" s="65">
        <v>29145888</v>
      </c>
      <c r="I112" s="65">
        <v>30145784</v>
      </c>
      <c r="J112" s="65">
        <v>31452457</v>
      </c>
      <c r="K112" s="65">
        <v>32145456</v>
      </c>
      <c r="L112" s="60">
        <f>((K112/B112)^(1/10))-1</f>
        <v>1.3540479074544587E-2</v>
      </c>
    </row>
    <row r="113" spans="1:12" x14ac:dyDescent="0.3">
      <c r="A113" s="10" t="str">
        <f>Semantics!B16</f>
        <v>Development Budget</v>
      </c>
      <c r="B113" s="65">
        <v>35515147</v>
      </c>
      <c r="C113" s="65">
        <v>35898911</v>
      </c>
      <c r="D113" s="65">
        <v>36111025</v>
      </c>
      <c r="E113" s="65">
        <v>36194254</v>
      </c>
      <c r="F113" s="65">
        <v>36514555</v>
      </c>
      <c r="G113" s="65">
        <v>36845122</v>
      </c>
      <c r="H113" s="65">
        <v>37145265</v>
      </c>
      <c r="I113" s="65">
        <v>38454758</v>
      </c>
      <c r="J113" s="65">
        <v>39145216</v>
      </c>
      <c r="K113" s="65">
        <v>40152145</v>
      </c>
      <c r="L113" s="60">
        <f>((K113/B113)^(1/10))-1</f>
        <v>1.2347263958963683E-2</v>
      </c>
    </row>
    <row r="114" spans="1:12" x14ac:dyDescent="0.3">
      <c r="A114" s="10" t="s">
        <v>248</v>
      </c>
      <c r="B114" s="34">
        <f t="shared" ref="B114:K114" si="2">SUM(B111:B113)</f>
        <v>178827395</v>
      </c>
      <c r="C114" s="34">
        <f t="shared" si="2"/>
        <v>182635469</v>
      </c>
      <c r="D114" s="34">
        <f t="shared" si="2"/>
        <v>183554721</v>
      </c>
      <c r="E114" s="34">
        <f t="shared" si="2"/>
        <v>184745887</v>
      </c>
      <c r="F114" s="34">
        <f t="shared" si="2"/>
        <v>185815930</v>
      </c>
      <c r="G114" s="34">
        <f t="shared" si="2"/>
        <v>186216234</v>
      </c>
      <c r="H114" s="34">
        <f t="shared" si="2"/>
        <v>188946032</v>
      </c>
      <c r="I114" s="34">
        <f t="shared" si="2"/>
        <v>192058000</v>
      </c>
      <c r="J114" s="34">
        <f t="shared" si="2"/>
        <v>195743038</v>
      </c>
      <c r="K114" s="34">
        <f t="shared" si="2"/>
        <v>200751725</v>
      </c>
      <c r="L114" s="60">
        <f>((K114/B114)^(1/10))-1</f>
        <v>1.1631918561734178E-2</v>
      </c>
    </row>
    <row r="115" spans="1:12" x14ac:dyDescent="0.3">
      <c r="A115" s="10" t="s">
        <v>249</v>
      </c>
      <c r="B115" s="65">
        <v>2845786000</v>
      </c>
      <c r="C115" s="65">
        <v>2870828916.7999997</v>
      </c>
      <c r="D115" s="65">
        <v>2896092211.2678394</v>
      </c>
      <c r="E115" s="65">
        <v>2921577822.7269964</v>
      </c>
      <c r="F115" s="65">
        <v>2947287707.5669937</v>
      </c>
      <c r="G115" s="65">
        <v>2973223839.3935828</v>
      </c>
      <c r="H115" s="65">
        <v>2999388209.1802459</v>
      </c>
      <c r="I115" s="65">
        <v>3025782825.421032</v>
      </c>
      <c r="J115" s="65">
        <v>3052409714.2847366</v>
      </c>
      <c r="K115" s="65">
        <v>3079270919.770442</v>
      </c>
      <c r="L115" s="60">
        <f>((K115/B115)^(1/10))-1</f>
        <v>7.9165263926210816E-3</v>
      </c>
    </row>
    <row r="116" spans="1:12" x14ac:dyDescent="0.3">
      <c r="A116" s="10" t="s">
        <v>250</v>
      </c>
      <c r="B116" s="91">
        <f>B114/B115</f>
        <v>6.2839368455674463E-2</v>
      </c>
      <c r="C116" s="91">
        <f t="shared" ref="C116:K116" si="3">C114/C115</f>
        <v>6.3617677783313051E-2</v>
      </c>
      <c r="D116" s="91">
        <f t="shared" si="3"/>
        <v>6.3380136960364306E-2</v>
      </c>
      <c r="E116" s="91">
        <f t="shared" si="3"/>
        <v>6.3234970351588468E-2</v>
      </c>
      <c r="F116" s="91">
        <f t="shared" si="3"/>
        <v>6.3046417057597795E-2</v>
      </c>
      <c r="G116" s="91">
        <f t="shared" si="3"/>
        <v>6.2631084660608863E-2</v>
      </c>
      <c r="H116" s="91">
        <f t="shared" si="3"/>
        <v>6.2994857225114012E-2</v>
      </c>
      <c r="I116" s="91">
        <f t="shared" si="3"/>
        <v>6.3473821844195144E-2</v>
      </c>
      <c r="J116" s="91">
        <f t="shared" si="3"/>
        <v>6.4127380110198598E-2</v>
      </c>
      <c r="K116" s="91">
        <f t="shared" si="3"/>
        <v>6.5194563983011253E-2</v>
      </c>
      <c r="L116" s="90" t="s">
        <v>34</v>
      </c>
    </row>
  </sheetData>
  <sheetProtection algorithmName="SHA-512" hashValue="7D2FQ+X1nAexNKvlB/Ck5NIY9u2GLJ2tvPLta32A1y9vX5N/Jl+iDXhFUc+8OiOBdh+W6qqyDSJ+bCR0Rup3gQ==" saltValue="dk+yyywDV/CAFbPAUVuq2w==" spinCount="100000" sheet="1" objects="1" scenarios="1"/>
  <mergeCells count="15">
    <mergeCell ref="H53:I53"/>
    <mergeCell ref="R53:S53"/>
    <mergeCell ref="L18:M18"/>
    <mergeCell ref="H65:I65"/>
    <mergeCell ref="C65:D65"/>
    <mergeCell ref="M65:N65"/>
    <mergeCell ref="R65:S65"/>
    <mergeCell ref="M53:N53"/>
    <mergeCell ref="C53:D53"/>
    <mergeCell ref="B18:C18"/>
    <mergeCell ref="C29:E29"/>
    <mergeCell ref="I29:K29"/>
    <mergeCell ref="C41:F41"/>
    <mergeCell ref="G18:H18"/>
    <mergeCell ref="J41:M41"/>
  </mergeCells>
  <dataValidations count="4">
    <dataValidation type="list" allowBlank="1" showInputMessage="1" showErrorMessage="1" sqref="F5" xr:uid="{8FCF5C79-56CC-45F2-99F9-749B8CC0B092}">
      <formula1>"2021, 2022, 2023, 2024, 2025, 2026, 2027, 2028, 2029, 2030"</formula1>
    </dataValidation>
    <dataValidation type="list" allowBlank="1" showInputMessage="1" showErrorMessage="1" sqref="J5" xr:uid="{9361453A-2073-4521-8E74-BD1FB7FF9173}">
      <formula1>"1, 2, 3"</formula1>
    </dataValidation>
    <dataValidation allowBlank="1" showInputMessage="1" showErrorMessage="1" prompt="Only enter if the pre-primary education takes 2 or 3 years" sqref="C71:D71 R71:S71 M68:N68 R68:S68 M71:N71 C68:D68 D44:F44 D47:F47 C32:E32 C35:E35 I32:K32 I35:K35 K44:M44 K47:M47 H68 J11 P32:Q32 P35:Q35 H71" xr:uid="{E10FAEEF-B347-4B0F-B1D1-57820BE9B84F}"/>
    <dataValidation allowBlank="1" showInputMessage="1" showErrorMessage="1" prompt="Only enter if the pre-primary education takes 3 years" sqref="R72:S72 C72:D72 M69:N69 M72:N72 R69:S69 C69:D69 K48:M48 K45:M45 D48:F48 D45:F45 C33:E33 C36:E36 I33:K33 I36:K36 H69 P36:Q36 P33:Q33 H72" xr:uid="{D6BB256A-C8C9-4BC2-88A1-95B83F2E8ABC}"/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0DB4-985E-4851-B9A6-2440F964EEAC}">
  <dimension ref="A1:L83"/>
  <sheetViews>
    <sheetView workbookViewId="0">
      <selection activeCell="F1" sqref="F1"/>
    </sheetView>
  </sheetViews>
  <sheetFormatPr defaultRowHeight="14.4" x14ac:dyDescent="0.3"/>
  <cols>
    <col min="1" max="1" width="23.21875" customWidth="1"/>
    <col min="2" max="3" width="8.33203125" customWidth="1"/>
    <col min="4" max="12" width="8.109375" customWidth="1"/>
  </cols>
  <sheetData>
    <row r="1" spans="1:9" x14ac:dyDescent="0.3">
      <c r="A1" s="48" t="s">
        <v>201</v>
      </c>
    </row>
    <row r="3" spans="1:9" x14ac:dyDescent="0.3">
      <c r="A3" s="62" t="s">
        <v>247</v>
      </c>
    </row>
    <row r="5" spans="1:9" x14ac:dyDescent="0.3">
      <c r="A5" s="4" t="s">
        <v>235</v>
      </c>
      <c r="E5" s="4"/>
      <c r="I5" s="4"/>
    </row>
    <row r="6" spans="1:9" x14ac:dyDescent="0.3">
      <c r="A6" s="4"/>
      <c r="E6" s="4"/>
      <c r="I6" s="4"/>
    </row>
    <row r="7" spans="1:9" x14ac:dyDescent="0.3">
      <c r="A7" s="3" t="s">
        <v>236</v>
      </c>
      <c r="B7" s="11" t="s">
        <v>120</v>
      </c>
      <c r="C7" s="11" t="s">
        <v>82</v>
      </c>
      <c r="D7" s="11" t="s">
        <v>121</v>
      </c>
    </row>
    <row r="8" spans="1:9" x14ac:dyDescent="0.3">
      <c r="A8" s="15" t="s">
        <v>13</v>
      </c>
      <c r="B8" s="77">
        <v>0.02</v>
      </c>
      <c r="C8" s="77">
        <v>5.0000000000000001E-3</v>
      </c>
      <c r="D8" s="77">
        <v>5.0000000000000001E-3</v>
      </c>
    </row>
    <row r="9" spans="1:9" x14ac:dyDescent="0.3">
      <c r="A9" s="15" t="s">
        <v>14</v>
      </c>
      <c r="B9" s="77">
        <v>0.02</v>
      </c>
      <c r="C9" s="77">
        <v>5.0000000000000001E-3</v>
      </c>
      <c r="D9" s="77">
        <v>5.0000000000000001E-3</v>
      </c>
    </row>
    <row r="10" spans="1:9" x14ac:dyDescent="0.3">
      <c r="A10" s="3" t="s">
        <v>237</v>
      </c>
    </row>
    <row r="11" spans="1:9" x14ac:dyDescent="0.3">
      <c r="A11" s="15" t="s">
        <v>13</v>
      </c>
      <c r="B11" s="77">
        <v>0.01</v>
      </c>
      <c r="C11" s="77">
        <v>0.01</v>
      </c>
      <c r="D11" s="77">
        <v>0.01</v>
      </c>
    </row>
    <row r="12" spans="1:9" x14ac:dyDescent="0.3">
      <c r="A12" s="15" t="s">
        <v>14</v>
      </c>
      <c r="B12" s="77">
        <v>0.01</v>
      </c>
      <c r="C12" s="77">
        <v>0.01</v>
      </c>
      <c r="D12" s="77">
        <v>0.01</v>
      </c>
    </row>
    <row r="14" spans="1:9" x14ac:dyDescent="0.3">
      <c r="A14" s="4" t="s">
        <v>238</v>
      </c>
    </row>
    <row r="16" spans="1:9" x14ac:dyDescent="0.3">
      <c r="A16" s="3" t="s">
        <v>37</v>
      </c>
    </row>
    <row r="18" spans="1:12" x14ac:dyDescent="0.3">
      <c r="A18" s="10" t="s">
        <v>51</v>
      </c>
      <c r="B18" s="10" t="s">
        <v>27</v>
      </c>
      <c r="C18" s="10">
        <f>Inputs!$F$5</f>
        <v>2021</v>
      </c>
      <c r="D18" s="10">
        <f>C18+1</f>
        <v>2022</v>
      </c>
      <c r="E18" s="10">
        <f t="shared" ref="E18:L18" si="0">D18+1</f>
        <v>2023</v>
      </c>
      <c r="F18" s="10">
        <f t="shared" si="0"/>
        <v>2024</v>
      </c>
      <c r="G18" s="10">
        <f t="shared" si="0"/>
        <v>2025</v>
      </c>
      <c r="H18" s="10">
        <f t="shared" si="0"/>
        <v>2026</v>
      </c>
      <c r="I18" s="10">
        <f t="shared" si="0"/>
        <v>2027</v>
      </c>
      <c r="J18" s="10">
        <f t="shared" si="0"/>
        <v>2028</v>
      </c>
      <c r="K18" s="10">
        <f t="shared" si="0"/>
        <v>2029</v>
      </c>
      <c r="L18" s="10">
        <f t="shared" si="0"/>
        <v>2030</v>
      </c>
    </row>
    <row r="19" spans="1:12" x14ac:dyDescent="0.3">
      <c r="A19" s="10" t="s">
        <v>13</v>
      </c>
      <c r="B19" s="16">
        <v>3</v>
      </c>
      <c r="C19" s="57" t="s">
        <v>34</v>
      </c>
      <c r="D19" s="72">
        <v>0.1</v>
      </c>
      <c r="E19" s="72">
        <v>0.05</v>
      </c>
      <c r="F19" s="72">
        <v>0.05</v>
      </c>
      <c r="G19" s="72">
        <v>0.05</v>
      </c>
      <c r="H19" s="72">
        <v>0.05</v>
      </c>
      <c r="I19" s="72">
        <v>0.05</v>
      </c>
      <c r="J19" s="72">
        <v>0.05</v>
      </c>
      <c r="K19" s="72">
        <v>0.05</v>
      </c>
      <c r="L19" s="72">
        <v>0.05</v>
      </c>
    </row>
    <row r="20" spans="1:12" x14ac:dyDescent="0.3">
      <c r="A20" s="10" t="s">
        <v>14</v>
      </c>
      <c r="B20" s="16">
        <v>3</v>
      </c>
      <c r="C20" s="57" t="s">
        <v>34</v>
      </c>
      <c r="D20" s="72">
        <v>0.06</v>
      </c>
      <c r="E20" s="72">
        <v>0.06</v>
      </c>
      <c r="F20" s="72">
        <v>0.06</v>
      </c>
      <c r="G20" s="72">
        <v>0.06</v>
      </c>
      <c r="H20" s="72">
        <v>0.06</v>
      </c>
      <c r="I20" s="72">
        <v>0.06</v>
      </c>
      <c r="J20" s="72">
        <v>0.06</v>
      </c>
      <c r="K20" s="72">
        <v>0.06</v>
      </c>
      <c r="L20" s="72">
        <v>0.06</v>
      </c>
    </row>
    <row r="22" spans="1:12" x14ac:dyDescent="0.3">
      <c r="A22" s="3" t="s">
        <v>158</v>
      </c>
    </row>
    <row r="24" spans="1:12" x14ac:dyDescent="0.3">
      <c r="A24" s="10" t="s">
        <v>51</v>
      </c>
      <c r="B24" s="10" t="s">
        <v>27</v>
      </c>
      <c r="C24" s="10">
        <f>Inputs!$F$5</f>
        <v>2021</v>
      </c>
      <c r="D24" s="10">
        <f>C24+1</f>
        <v>2022</v>
      </c>
      <c r="E24" s="10">
        <f t="shared" ref="E24:L24" si="1">D24+1</f>
        <v>2023</v>
      </c>
      <c r="F24" s="10">
        <f t="shared" si="1"/>
        <v>2024</v>
      </c>
      <c r="G24" s="10">
        <f t="shared" si="1"/>
        <v>2025</v>
      </c>
      <c r="H24" s="10">
        <f t="shared" si="1"/>
        <v>2026</v>
      </c>
      <c r="I24" s="10">
        <f t="shared" si="1"/>
        <v>2027</v>
      </c>
      <c r="J24" s="10">
        <f t="shared" si="1"/>
        <v>2028</v>
      </c>
      <c r="K24" s="10">
        <f t="shared" si="1"/>
        <v>2029</v>
      </c>
      <c r="L24" s="10">
        <f t="shared" si="1"/>
        <v>2030</v>
      </c>
    </row>
    <row r="25" spans="1:12" x14ac:dyDescent="0.3">
      <c r="A25" s="10" t="s">
        <v>13</v>
      </c>
      <c r="B25" s="16">
        <v>3</v>
      </c>
      <c r="C25" s="57" t="s">
        <v>34</v>
      </c>
      <c r="D25" s="72">
        <v>7.0000000000000007E-2</v>
      </c>
      <c r="E25" s="72">
        <v>7.0000000000000007E-2</v>
      </c>
      <c r="F25" s="72">
        <v>7.0000000000000007E-2</v>
      </c>
      <c r="G25" s="72">
        <v>7.0000000000000007E-2</v>
      </c>
      <c r="H25" s="72">
        <v>7.0000000000000007E-2</v>
      </c>
      <c r="I25" s="72">
        <v>7.0000000000000007E-2</v>
      </c>
      <c r="J25" s="72">
        <v>7.0000000000000007E-2</v>
      </c>
      <c r="K25" s="72">
        <v>7.0000000000000007E-2</v>
      </c>
      <c r="L25" s="72">
        <v>7.0000000000000007E-2</v>
      </c>
    </row>
    <row r="26" spans="1:12" x14ac:dyDescent="0.3">
      <c r="A26" s="10" t="s">
        <v>14</v>
      </c>
      <c r="B26" s="16">
        <v>3</v>
      </c>
      <c r="C26" s="57" t="s">
        <v>34</v>
      </c>
      <c r="D26" s="72">
        <v>0.06</v>
      </c>
      <c r="E26" s="72">
        <v>0.06</v>
      </c>
      <c r="F26" s="72">
        <v>0.06</v>
      </c>
      <c r="G26" s="72">
        <v>0.06</v>
      </c>
      <c r="H26" s="72">
        <v>0.06</v>
      </c>
      <c r="I26" s="72">
        <v>0.06</v>
      </c>
      <c r="J26" s="72">
        <v>0.06</v>
      </c>
      <c r="K26" s="72">
        <v>0.06</v>
      </c>
      <c r="L26" s="72">
        <v>0.06</v>
      </c>
    </row>
    <row r="28" spans="1:12" x14ac:dyDescent="0.3">
      <c r="A28" s="3" t="s">
        <v>36</v>
      </c>
    </row>
    <row r="30" spans="1:12" x14ac:dyDescent="0.3">
      <c r="A30" s="10" t="s">
        <v>51</v>
      </c>
      <c r="B30" s="10" t="s">
        <v>27</v>
      </c>
      <c r="C30" s="10">
        <f>Inputs!$F$5</f>
        <v>2021</v>
      </c>
      <c r="D30" s="10">
        <f>C30+1</f>
        <v>2022</v>
      </c>
      <c r="E30" s="10">
        <f t="shared" ref="E30:L30" si="2">D30+1</f>
        <v>2023</v>
      </c>
      <c r="F30" s="10">
        <f t="shared" si="2"/>
        <v>2024</v>
      </c>
      <c r="G30" s="10">
        <f t="shared" si="2"/>
        <v>2025</v>
      </c>
      <c r="H30" s="10">
        <f t="shared" si="2"/>
        <v>2026</v>
      </c>
      <c r="I30" s="10">
        <f t="shared" si="2"/>
        <v>2027</v>
      </c>
      <c r="J30" s="10">
        <f t="shared" si="2"/>
        <v>2028</v>
      </c>
      <c r="K30" s="10">
        <f t="shared" si="2"/>
        <v>2029</v>
      </c>
      <c r="L30" s="10">
        <f t="shared" si="2"/>
        <v>2030</v>
      </c>
    </row>
    <row r="31" spans="1:12" x14ac:dyDescent="0.3">
      <c r="A31" s="10" t="s">
        <v>13</v>
      </c>
      <c r="B31" s="16">
        <v>3</v>
      </c>
      <c r="C31" s="57" t="s">
        <v>34</v>
      </c>
      <c r="D31" s="72">
        <v>0.03</v>
      </c>
      <c r="E31" s="72">
        <v>0.03</v>
      </c>
      <c r="F31" s="72">
        <v>0.03</v>
      </c>
      <c r="G31" s="72">
        <v>0.03</v>
      </c>
      <c r="H31" s="72">
        <v>0.03</v>
      </c>
      <c r="I31" s="72">
        <v>0.03</v>
      </c>
      <c r="J31" s="72">
        <v>0.03</v>
      </c>
      <c r="K31" s="72">
        <v>0.03</v>
      </c>
      <c r="L31" s="72">
        <v>0.03</v>
      </c>
    </row>
    <row r="32" spans="1:12" x14ac:dyDescent="0.3">
      <c r="A32" s="10" t="s">
        <v>14</v>
      </c>
      <c r="B32" s="16">
        <v>3</v>
      </c>
      <c r="C32" s="57" t="s">
        <v>34</v>
      </c>
      <c r="D32" s="72">
        <v>0.03</v>
      </c>
      <c r="E32" s="72">
        <v>0.03</v>
      </c>
      <c r="F32" s="72">
        <v>0.03</v>
      </c>
      <c r="G32" s="72">
        <v>0.03</v>
      </c>
      <c r="H32" s="72">
        <v>0.03</v>
      </c>
      <c r="I32" s="72">
        <v>0.03</v>
      </c>
      <c r="J32" s="72">
        <v>0.03</v>
      </c>
      <c r="K32" s="72">
        <v>0.03</v>
      </c>
      <c r="L32" s="72">
        <v>0.03</v>
      </c>
    </row>
    <row r="34" spans="1:12" x14ac:dyDescent="0.3">
      <c r="A34" s="4" t="str">
        <f>"Student "&amp;Semantics!B6&amp;" Ratios"</f>
        <v>Student Teacher Ratios</v>
      </c>
      <c r="G34" s="4" t="str">
        <f>"Student "&amp;Semantics!B8&amp;" Ratios"</f>
        <v>Student Classroom Ratios</v>
      </c>
    </row>
    <row r="35" spans="1:12" x14ac:dyDescent="0.3">
      <c r="C35" s="1"/>
      <c r="K35" s="1"/>
    </row>
    <row r="36" spans="1:12" x14ac:dyDescent="0.3">
      <c r="A36" t="str">
        <f>"1 new "&amp;Semantics!B6&amp;" for"</f>
        <v>1 new Teacher for</v>
      </c>
      <c r="B36" s="83" t="s">
        <v>13</v>
      </c>
      <c r="C36" s="82">
        <v>30</v>
      </c>
      <c r="D36" t="s">
        <v>53</v>
      </c>
      <c r="I36" s="15" t="str">
        <f>"1 new "&amp;Semantics!B8&amp;" for"</f>
        <v>1 new Classroom for</v>
      </c>
      <c r="J36" s="83" t="s">
        <v>13</v>
      </c>
      <c r="K36" s="82">
        <v>30</v>
      </c>
      <c r="L36" t="s">
        <v>53</v>
      </c>
    </row>
    <row r="37" spans="1:12" x14ac:dyDescent="0.3">
      <c r="A37" t="str">
        <f>"1 new "&amp;Semantics!B6&amp;" for"</f>
        <v>1 new Teacher for</v>
      </c>
      <c r="B37" s="83" t="s">
        <v>14</v>
      </c>
      <c r="C37" s="82">
        <v>30</v>
      </c>
      <c r="D37" t="s">
        <v>53</v>
      </c>
      <c r="I37" s="15" t="str">
        <f>"1 new "&amp;Semantics!B8&amp;" for"</f>
        <v>1 new Classroom for</v>
      </c>
      <c r="J37" s="83" t="s">
        <v>14</v>
      </c>
      <c r="K37" s="82">
        <v>30</v>
      </c>
      <c r="L37" t="s">
        <v>53</v>
      </c>
    </row>
    <row r="38" spans="1:12" x14ac:dyDescent="0.3">
      <c r="C38" s="1"/>
      <c r="K38" s="1"/>
    </row>
    <row r="39" spans="1:12" x14ac:dyDescent="0.3">
      <c r="A39" s="4" t="str">
        <f>"Addressing Existing "&amp;Semantics!B6&amp;" Gap"</f>
        <v>Addressing Existing Teacher Gap</v>
      </c>
      <c r="C39" s="1"/>
      <c r="G39" s="4" t="str">
        <f>"Addressing Existing "&amp;Semantics!B8&amp;" Gap"</f>
        <v>Addressing Existing Classroom Gap</v>
      </c>
      <c r="K39" s="1"/>
    </row>
    <row r="40" spans="1:12" x14ac:dyDescent="0.3">
      <c r="A40" s="13"/>
      <c r="C40" s="1"/>
      <c r="I40" s="13"/>
      <c r="K40" s="1"/>
    </row>
    <row r="41" spans="1:12" x14ac:dyDescent="0.3">
      <c r="A41" t="s">
        <v>239</v>
      </c>
      <c r="B41" s="83" t="s">
        <v>13</v>
      </c>
      <c r="C41" s="78">
        <v>5</v>
      </c>
      <c r="D41" t="s">
        <v>243</v>
      </c>
      <c r="I41" s="15" t="s">
        <v>239</v>
      </c>
      <c r="J41" s="83" t="s">
        <v>13</v>
      </c>
      <c r="K41" s="78">
        <v>5</v>
      </c>
      <c r="L41" t="s">
        <v>243</v>
      </c>
    </row>
    <row r="42" spans="1:12" x14ac:dyDescent="0.3">
      <c r="A42" t="s">
        <v>239</v>
      </c>
      <c r="B42" s="83" t="s">
        <v>14</v>
      </c>
      <c r="C42" s="78">
        <v>5</v>
      </c>
      <c r="D42" t="s">
        <v>243</v>
      </c>
      <c r="I42" s="15" t="s">
        <v>239</v>
      </c>
      <c r="J42" s="83" t="s">
        <v>14</v>
      </c>
      <c r="K42" s="78">
        <v>5</v>
      </c>
      <c r="L42" t="s">
        <v>243</v>
      </c>
    </row>
    <row r="43" spans="1:12" x14ac:dyDescent="0.3">
      <c r="A43" t="s">
        <v>240</v>
      </c>
      <c r="B43" s="83" t="s">
        <v>13</v>
      </c>
      <c r="C43" s="78">
        <v>5</v>
      </c>
      <c r="D43" t="s">
        <v>243</v>
      </c>
      <c r="I43" s="15" t="s">
        <v>240</v>
      </c>
      <c r="J43" s="83" t="s">
        <v>13</v>
      </c>
      <c r="K43" s="78">
        <v>5</v>
      </c>
      <c r="L43" t="s">
        <v>243</v>
      </c>
    </row>
    <row r="44" spans="1:12" x14ac:dyDescent="0.3">
      <c r="A44" t="s">
        <v>240</v>
      </c>
      <c r="B44" s="83" t="s">
        <v>14</v>
      </c>
      <c r="C44" s="78">
        <v>5</v>
      </c>
      <c r="D44" t="s">
        <v>243</v>
      </c>
      <c r="I44" s="15" t="s">
        <v>240</v>
      </c>
      <c r="J44" s="83" t="s">
        <v>14</v>
      </c>
      <c r="K44" s="78">
        <v>5</v>
      </c>
      <c r="L44" t="s">
        <v>243</v>
      </c>
    </row>
    <row r="45" spans="1:12" x14ac:dyDescent="0.3">
      <c r="A45" t="s">
        <v>241</v>
      </c>
      <c r="B45" s="83" t="s">
        <v>13</v>
      </c>
      <c r="C45" s="78">
        <v>5</v>
      </c>
      <c r="D45" t="s">
        <v>243</v>
      </c>
      <c r="I45" s="15" t="s">
        <v>241</v>
      </c>
      <c r="J45" s="83" t="s">
        <v>13</v>
      </c>
      <c r="K45" s="78">
        <v>5</v>
      </c>
      <c r="L45" t="s">
        <v>243</v>
      </c>
    </row>
    <row r="46" spans="1:12" x14ac:dyDescent="0.3">
      <c r="A46" t="s">
        <v>241</v>
      </c>
      <c r="B46" s="83" t="s">
        <v>14</v>
      </c>
      <c r="C46" s="78">
        <v>5</v>
      </c>
      <c r="D46" t="s">
        <v>243</v>
      </c>
      <c r="I46" s="15" t="s">
        <v>241</v>
      </c>
      <c r="J46" s="83" t="s">
        <v>14</v>
      </c>
      <c r="K46" s="78">
        <v>5</v>
      </c>
      <c r="L46" t="s">
        <v>243</v>
      </c>
    </row>
    <row r="48" spans="1:12" x14ac:dyDescent="0.3">
      <c r="A48" s="4" t="s">
        <v>242</v>
      </c>
      <c r="G48" s="4" t="str">
        <f>"Student to "&amp;Semantics!B9&amp;" Ratios"</f>
        <v>Student to ECE Kit Ratios</v>
      </c>
    </row>
    <row r="49" spans="1:12" x14ac:dyDescent="0.3">
      <c r="K49" s="1"/>
    </row>
    <row r="50" spans="1:12" x14ac:dyDescent="0.3">
      <c r="A50" t="str">
        <f>"1 new "&amp;Semantics!B7&amp;" for"</f>
        <v>1 new Caregiver for</v>
      </c>
      <c r="B50" s="83" t="s">
        <v>13</v>
      </c>
      <c r="C50" s="82">
        <v>30</v>
      </c>
      <c r="D50" t="s">
        <v>53</v>
      </c>
      <c r="I50" s="15" t="str">
        <f>"1 new "&amp;Semantics!B9&amp;" for"</f>
        <v>1 new ECE Kit for</v>
      </c>
      <c r="J50" s="83" t="s">
        <v>13</v>
      </c>
      <c r="K50" s="82">
        <v>30</v>
      </c>
      <c r="L50" t="s">
        <v>53</v>
      </c>
    </row>
    <row r="51" spans="1:12" x14ac:dyDescent="0.3">
      <c r="A51" t="str">
        <f>"1 new "&amp;Semantics!B7&amp;" for"</f>
        <v>1 new Caregiver for</v>
      </c>
      <c r="B51" s="83" t="s">
        <v>14</v>
      </c>
      <c r="C51" s="82">
        <v>30</v>
      </c>
      <c r="D51" t="s">
        <v>53</v>
      </c>
      <c r="I51" s="15" t="str">
        <f>"1 new "&amp;Semantics!B9&amp;" for"</f>
        <v>1 new ECE Kit for</v>
      </c>
      <c r="J51" s="83" t="s">
        <v>14</v>
      </c>
      <c r="K51" s="82">
        <v>30</v>
      </c>
      <c r="L51" t="s">
        <v>53</v>
      </c>
    </row>
    <row r="52" spans="1:12" x14ac:dyDescent="0.3">
      <c r="K52" s="1"/>
    </row>
    <row r="53" spans="1:12" x14ac:dyDescent="0.3">
      <c r="A53" s="4" t="str">
        <f>"Addressing Existing "&amp;Semantics!B7&amp;" Gap"</f>
        <v>Addressing Existing Caregiver Gap</v>
      </c>
      <c r="C53" s="1"/>
      <c r="G53" s="4" t="str">
        <f>"Addressing Existing "&amp;Semantics!B9&amp;" Gap"</f>
        <v>Addressing Existing ECE Kit Gap</v>
      </c>
      <c r="K53" s="1"/>
    </row>
    <row r="54" spans="1:12" x14ac:dyDescent="0.3">
      <c r="A54" s="13"/>
      <c r="C54" s="1"/>
      <c r="I54" s="13"/>
      <c r="K54" s="1"/>
    </row>
    <row r="55" spans="1:12" x14ac:dyDescent="0.3">
      <c r="A55" t="s">
        <v>239</v>
      </c>
      <c r="B55" s="83" t="s">
        <v>13</v>
      </c>
      <c r="C55" s="78">
        <v>5</v>
      </c>
      <c r="D55" t="s">
        <v>243</v>
      </c>
      <c r="I55" s="15" t="s">
        <v>239</v>
      </c>
      <c r="J55" s="83" t="s">
        <v>13</v>
      </c>
      <c r="K55" s="78">
        <v>5</v>
      </c>
      <c r="L55" t="s">
        <v>243</v>
      </c>
    </row>
    <row r="56" spans="1:12" x14ac:dyDescent="0.3">
      <c r="A56" t="s">
        <v>239</v>
      </c>
      <c r="B56" s="83" t="s">
        <v>14</v>
      </c>
      <c r="C56" s="78">
        <v>5</v>
      </c>
      <c r="D56" t="s">
        <v>243</v>
      </c>
      <c r="I56" s="15" t="s">
        <v>239</v>
      </c>
      <c r="J56" s="83" t="s">
        <v>14</v>
      </c>
      <c r="K56" s="78">
        <v>5</v>
      </c>
      <c r="L56" t="s">
        <v>243</v>
      </c>
    </row>
    <row r="57" spans="1:12" x14ac:dyDescent="0.3">
      <c r="A57" t="s">
        <v>240</v>
      </c>
      <c r="B57" s="83" t="s">
        <v>13</v>
      </c>
      <c r="C57" s="78">
        <v>5</v>
      </c>
      <c r="D57" t="s">
        <v>243</v>
      </c>
      <c r="I57" s="15" t="s">
        <v>240</v>
      </c>
      <c r="J57" s="83" t="s">
        <v>13</v>
      </c>
      <c r="K57" s="78">
        <v>5</v>
      </c>
      <c r="L57" t="s">
        <v>243</v>
      </c>
    </row>
    <row r="58" spans="1:12" x14ac:dyDescent="0.3">
      <c r="A58" t="s">
        <v>240</v>
      </c>
      <c r="B58" s="83" t="s">
        <v>14</v>
      </c>
      <c r="C58" s="78">
        <v>5</v>
      </c>
      <c r="D58" t="s">
        <v>243</v>
      </c>
      <c r="I58" s="15" t="s">
        <v>240</v>
      </c>
      <c r="J58" s="83" t="s">
        <v>14</v>
      </c>
      <c r="K58" s="78">
        <v>5</v>
      </c>
      <c r="L58" t="s">
        <v>243</v>
      </c>
    </row>
    <row r="59" spans="1:12" x14ac:dyDescent="0.3">
      <c r="A59" t="s">
        <v>241</v>
      </c>
      <c r="B59" s="83" t="s">
        <v>13</v>
      </c>
      <c r="C59" s="78">
        <v>5</v>
      </c>
      <c r="D59" t="s">
        <v>243</v>
      </c>
      <c r="I59" s="15" t="s">
        <v>241</v>
      </c>
      <c r="J59" s="83" t="s">
        <v>13</v>
      </c>
      <c r="K59" s="78">
        <v>5</v>
      </c>
      <c r="L59" t="s">
        <v>243</v>
      </c>
    </row>
    <row r="60" spans="1:12" x14ac:dyDescent="0.3">
      <c r="A60" t="s">
        <v>241</v>
      </c>
      <c r="B60" s="83" t="s">
        <v>14</v>
      </c>
      <c r="C60" s="78">
        <v>5</v>
      </c>
      <c r="D60" t="s">
        <v>243</v>
      </c>
      <c r="I60" s="15" t="s">
        <v>241</v>
      </c>
      <c r="J60" s="83" t="s">
        <v>14</v>
      </c>
      <c r="K60" s="78">
        <v>5</v>
      </c>
      <c r="L60" t="s">
        <v>243</v>
      </c>
    </row>
    <row r="62" spans="1:12" x14ac:dyDescent="0.3">
      <c r="A62" s="4" t="s">
        <v>244</v>
      </c>
      <c r="G62" s="4" t="str">
        <f>"Student to "&amp;Semantics!B10&amp;" Ratios"</f>
        <v>Student to Reading Corner Ratios</v>
      </c>
    </row>
    <row r="63" spans="1:12" x14ac:dyDescent="0.3">
      <c r="K63" s="1"/>
    </row>
    <row r="64" spans="1:12" x14ac:dyDescent="0.3">
      <c r="A64" t="s">
        <v>239</v>
      </c>
      <c r="B64" s="83" t="s">
        <v>13</v>
      </c>
      <c r="C64" s="78">
        <v>5</v>
      </c>
      <c r="D64" t="s">
        <v>243</v>
      </c>
      <c r="I64" s="15" t="str">
        <f>"1 new "&amp;Semantics!B10&amp;" for"</f>
        <v>1 new Reading Corner for</v>
      </c>
      <c r="J64" s="83" t="s">
        <v>13</v>
      </c>
      <c r="K64" s="82">
        <v>30</v>
      </c>
      <c r="L64" t="s">
        <v>53</v>
      </c>
    </row>
    <row r="65" spans="1:12" x14ac:dyDescent="0.3">
      <c r="A65" t="s">
        <v>239</v>
      </c>
      <c r="B65" s="83" t="s">
        <v>14</v>
      </c>
      <c r="C65" s="78">
        <v>5</v>
      </c>
      <c r="D65" t="s">
        <v>243</v>
      </c>
      <c r="I65" s="15" t="str">
        <f>"1 new "&amp;Semantics!B10&amp;" for"</f>
        <v>1 new Reading Corner for</v>
      </c>
      <c r="J65" s="83" t="s">
        <v>14</v>
      </c>
      <c r="K65" s="82">
        <v>30</v>
      </c>
      <c r="L65" t="s">
        <v>53</v>
      </c>
    </row>
    <row r="66" spans="1:12" x14ac:dyDescent="0.3">
      <c r="A66" t="s">
        <v>240</v>
      </c>
      <c r="B66" s="83" t="s">
        <v>13</v>
      </c>
      <c r="C66" s="78">
        <v>5</v>
      </c>
      <c r="D66" t="s">
        <v>243</v>
      </c>
      <c r="K66" s="1"/>
    </row>
    <row r="67" spans="1:12" x14ac:dyDescent="0.3">
      <c r="A67" t="s">
        <v>240</v>
      </c>
      <c r="B67" s="83" t="s">
        <v>14</v>
      </c>
      <c r="C67" s="78">
        <v>5</v>
      </c>
      <c r="D67" t="s">
        <v>243</v>
      </c>
      <c r="G67" s="4" t="str">
        <f>"Addressing Existing "&amp;Semantics!B10&amp;" Gap"</f>
        <v>Addressing Existing Reading Corner Gap</v>
      </c>
      <c r="K67" s="1"/>
    </row>
    <row r="68" spans="1:12" x14ac:dyDescent="0.3">
      <c r="A68" t="s">
        <v>241</v>
      </c>
      <c r="B68" s="83" t="s">
        <v>13</v>
      </c>
      <c r="C68" s="78">
        <v>5</v>
      </c>
      <c r="D68" t="s">
        <v>243</v>
      </c>
      <c r="I68" s="13"/>
      <c r="K68" s="1"/>
    </row>
    <row r="69" spans="1:12" x14ac:dyDescent="0.3">
      <c r="A69" t="s">
        <v>241</v>
      </c>
      <c r="B69" s="83" t="s">
        <v>14</v>
      </c>
      <c r="C69" s="78">
        <v>5</v>
      </c>
      <c r="D69" t="s">
        <v>243</v>
      </c>
      <c r="I69" s="15" t="s">
        <v>239</v>
      </c>
      <c r="J69" s="83" t="s">
        <v>13</v>
      </c>
      <c r="K69" s="78">
        <v>5</v>
      </c>
      <c r="L69" t="s">
        <v>243</v>
      </c>
    </row>
    <row r="70" spans="1:12" x14ac:dyDescent="0.3">
      <c r="I70" s="15" t="s">
        <v>239</v>
      </c>
      <c r="J70" s="83" t="s">
        <v>14</v>
      </c>
      <c r="K70" s="78">
        <v>5</v>
      </c>
      <c r="L70" t="s">
        <v>243</v>
      </c>
    </row>
    <row r="71" spans="1:12" x14ac:dyDescent="0.3">
      <c r="I71" s="15" t="s">
        <v>240</v>
      </c>
      <c r="J71" s="83" t="s">
        <v>13</v>
      </c>
      <c r="K71" s="78">
        <v>5</v>
      </c>
      <c r="L71" t="s">
        <v>243</v>
      </c>
    </row>
    <row r="72" spans="1:12" x14ac:dyDescent="0.3">
      <c r="I72" s="15" t="s">
        <v>240</v>
      </c>
      <c r="J72" s="83" t="s">
        <v>14</v>
      </c>
      <c r="K72" s="78">
        <v>5</v>
      </c>
      <c r="L72" t="s">
        <v>243</v>
      </c>
    </row>
    <row r="73" spans="1:12" x14ac:dyDescent="0.3">
      <c r="I73" s="15" t="s">
        <v>241</v>
      </c>
      <c r="J73" s="83" t="s">
        <v>13</v>
      </c>
      <c r="K73" s="78">
        <v>5</v>
      </c>
      <c r="L73" t="s">
        <v>243</v>
      </c>
    </row>
    <row r="74" spans="1:12" x14ac:dyDescent="0.3">
      <c r="I74" s="15" t="s">
        <v>241</v>
      </c>
      <c r="J74" s="83" t="s">
        <v>14</v>
      </c>
      <c r="K74" s="78">
        <v>5</v>
      </c>
      <c r="L74" t="s">
        <v>243</v>
      </c>
    </row>
    <row r="76" spans="1:12" x14ac:dyDescent="0.3">
      <c r="G76" s="4" t="s">
        <v>245</v>
      </c>
      <c r="J76" s="1"/>
    </row>
    <row r="77" spans="1:12" x14ac:dyDescent="0.3">
      <c r="H77" s="13"/>
      <c r="J77" s="1"/>
    </row>
    <row r="78" spans="1:12" x14ac:dyDescent="0.3">
      <c r="I78" s="15" t="s">
        <v>88</v>
      </c>
      <c r="J78" s="83" t="s">
        <v>13</v>
      </c>
      <c r="K78" s="84">
        <v>0.05</v>
      </c>
      <c r="L78" t="s">
        <v>87</v>
      </c>
    </row>
    <row r="79" spans="1:12" x14ac:dyDescent="0.3">
      <c r="I79" s="15" t="s">
        <v>88</v>
      </c>
      <c r="J79" s="83" t="s">
        <v>14</v>
      </c>
      <c r="K79" s="84">
        <v>0.05</v>
      </c>
      <c r="L79" t="s">
        <v>87</v>
      </c>
    </row>
    <row r="80" spans="1:12" x14ac:dyDescent="0.3">
      <c r="I80" s="15" t="s">
        <v>89</v>
      </c>
      <c r="J80" s="83" t="s">
        <v>13</v>
      </c>
      <c r="K80" s="84">
        <v>0.05</v>
      </c>
      <c r="L80" t="s">
        <v>87</v>
      </c>
    </row>
    <row r="81" spans="9:12" x14ac:dyDescent="0.3">
      <c r="I81" s="15" t="s">
        <v>89</v>
      </c>
      <c r="J81" s="83" t="s">
        <v>14</v>
      </c>
      <c r="K81" s="84">
        <v>0.05</v>
      </c>
      <c r="L81" t="s">
        <v>87</v>
      </c>
    </row>
    <row r="82" spans="9:12" x14ac:dyDescent="0.3">
      <c r="I82" s="15" t="str">
        <f>Semantics!B11&amp;" Schools"</f>
        <v>Community Schools</v>
      </c>
      <c r="J82" s="83" t="s">
        <v>13</v>
      </c>
      <c r="K82" s="84">
        <v>0.05</v>
      </c>
      <c r="L82" t="s">
        <v>87</v>
      </c>
    </row>
    <row r="83" spans="9:12" x14ac:dyDescent="0.3">
      <c r="I83" s="15" t="str">
        <f>Semantics!B11&amp;" Schools"</f>
        <v>Community Schools</v>
      </c>
      <c r="J83" s="83" t="s">
        <v>14</v>
      </c>
      <c r="K83" s="84">
        <v>0.05</v>
      </c>
      <c r="L83" t="s">
        <v>87</v>
      </c>
    </row>
  </sheetData>
  <sheetProtection algorithmName="SHA-512" hashValue="9EnlFc8hnGCY0wmUZA8Wef7FaYhL4klooKVo8Qz6lQs4Gy/r1zEd5O0bOeB8KqBVO+ofmq7gYaGZocdedADHsg==" saltValue="ovjQyyk6sNH8XzICuGSyTg==" spinCount="100000" sheet="1" objects="1" scenarios="1"/>
  <phoneticPr fontId="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37D8-41C3-46EE-A70D-DAEA3F6F6215}">
  <dimension ref="A1:O29"/>
  <sheetViews>
    <sheetView workbookViewId="0">
      <selection activeCell="F1" sqref="F1"/>
    </sheetView>
  </sheetViews>
  <sheetFormatPr defaultRowHeight="14.4" x14ac:dyDescent="0.3"/>
  <cols>
    <col min="1" max="1" width="19.109375" customWidth="1"/>
    <col min="13" max="13" width="11" customWidth="1"/>
  </cols>
  <sheetData>
    <row r="1" spans="1:15" x14ac:dyDescent="0.3">
      <c r="A1" s="48" t="s">
        <v>201</v>
      </c>
    </row>
    <row r="3" spans="1:15" x14ac:dyDescent="0.3">
      <c r="A3" s="62" t="s">
        <v>176</v>
      </c>
    </row>
    <row r="5" spans="1:15" x14ac:dyDescent="0.3">
      <c r="A5" s="3" t="s">
        <v>0</v>
      </c>
    </row>
    <row r="6" spans="1:15" x14ac:dyDescent="0.3">
      <c r="C6" s="75">
        <f>Inputs!B20*(1+N7)+Inputs!G20*(1+N11)</f>
        <v>567154.70499999996</v>
      </c>
      <c r="M6" s="4" t="s">
        <v>181</v>
      </c>
    </row>
    <row r="7" spans="1:15" x14ac:dyDescent="0.3">
      <c r="A7" s="10" t="s">
        <v>10</v>
      </c>
      <c r="B7" s="10">
        <f>Inputs!$F$5</f>
        <v>2021</v>
      </c>
      <c r="C7" s="10">
        <f>B7+1</f>
        <v>2022</v>
      </c>
      <c r="D7" s="10">
        <f t="shared" ref="D7:K7" si="0">C7+1</f>
        <v>2023</v>
      </c>
      <c r="E7" s="10">
        <f t="shared" si="0"/>
        <v>2024</v>
      </c>
      <c r="F7" s="10">
        <f t="shared" si="0"/>
        <v>2025</v>
      </c>
      <c r="G7" s="10">
        <f t="shared" si="0"/>
        <v>2026</v>
      </c>
      <c r="H7" s="10">
        <f t="shared" si="0"/>
        <v>2027</v>
      </c>
      <c r="I7" s="10">
        <f t="shared" si="0"/>
        <v>2028</v>
      </c>
      <c r="J7" s="10">
        <f t="shared" si="0"/>
        <v>2029</v>
      </c>
      <c r="K7" s="10">
        <f t="shared" si="0"/>
        <v>2030</v>
      </c>
      <c r="M7" s="1" t="s">
        <v>16</v>
      </c>
      <c r="N7" s="5">
        <f>Inputs!B9</f>
        <v>2.5000000000000001E-2</v>
      </c>
      <c r="O7" t="s">
        <v>9</v>
      </c>
    </row>
    <row r="8" spans="1:15" x14ac:dyDescent="0.3">
      <c r="A8" s="10">
        <v>0</v>
      </c>
      <c r="B8" s="57">
        <f>Inputs!B20+Inputs!G20</f>
        <v>553337</v>
      </c>
      <c r="C8" s="8">
        <f>Inputs!B20*(1+$N$7)+Inputs!G20*(1+$N$11)</f>
        <v>567154.70499999996</v>
      </c>
      <c r="D8" s="8">
        <f>Inputs!C20*(1+$N$7)+Inputs!H20*(1+$N$11)</f>
        <v>365029.77999999997</v>
      </c>
      <c r="E8" s="8">
        <f t="shared" ref="E8:K8" si="1">D8*(1+$N$7)</f>
        <v>374155.52449999994</v>
      </c>
      <c r="F8" s="8">
        <f t="shared" si="1"/>
        <v>383509.4126124999</v>
      </c>
      <c r="G8" s="8">
        <f t="shared" si="1"/>
        <v>393097.14792781236</v>
      </c>
      <c r="H8" s="8">
        <f t="shared" si="1"/>
        <v>402924.57662600762</v>
      </c>
      <c r="I8" s="8">
        <f t="shared" si="1"/>
        <v>412997.69104165776</v>
      </c>
      <c r="J8" s="8">
        <f t="shared" si="1"/>
        <v>423322.63331769919</v>
      </c>
      <c r="K8" s="8">
        <f t="shared" si="1"/>
        <v>433905.69915064162</v>
      </c>
      <c r="M8" s="1" t="s">
        <v>15</v>
      </c>
      <c r="N8" s="5">
        <f>Inputs!B10</f>
        <v>1.7500000000000002E-2</v>
      </c>
      <c r="O8" t="s">
        <v>9</v>
      </c>
    </row>
    <row r="9" spans="1:15" x14ac:dyDescent="0.3">
      <c r="A9" s="10">
        <v>1</v>
      </c>
      <c r="B9" s="57">
        <f>Inputs!B21+Inputs!G21</f>
        <v>483191</v>
      </c>
      <c r="C9" s="9">
        <f t="shared" ref="C9:K9" si="2">B8*(1-$N$16)</f>
        <v>467569.76500000001</v>
      </c>
      <c r="D9" s="7">
        <f t="shared" si="2"/>
        <v>479245.72572499997</v>
      </c>
      <c r="E9" s="7">
        <f t="shared" si="2"/>
        <v>308450.16409999994</v>
      </c>
      <c r="F9" s="7">
        <f t="shared" si="2"/>
        <v>316161.41820249992</v>
      </c>
      <c r="G9" s="7">
        <f t="shared" si="2"/>
        <v>324065.45365756238</v>
      </c>
      <c r="H9" s="7">
        <f t="shared" si="2"/>
        <v>332167.08999900141</v>
      </c>
      <c r="I9" s="7">
        <f t="shared" si="2"/>
        <v>340471.26724897645</v>
      </c>
      <c r="J9" s="7">
        <f t="shared" si="2"/>
        <v>348983.04893020081</v>
      </c>
      <c r="K9" s="7">
        <f t="shared" si="2"/>
        <v>357707.62515345583</v>
      </c>
      <c r="N9" s="1"/>
      <c r="O9" s="1"/>
    </row>
    <row r="10" spans="1:15" x14ac:dyDescent="0.3">
      <c r="A10" s="10">
        <v>2</v>
      </c>
      <c r="B10" s="57">
        <f>Inputs!B22+Inputs!G22</f>
        <v>546819</v>
      </c>
      <c r="C10" s="7">
        <f t="shared" ref="C10:K10" si="3">B9*(1-$N$17)</f>
        <v>456615.495</v>
      </c>
      <c r="D10" s="9">
        <f t="shared" si="3"/>
        <v>441853.42792499997</v>
      </c>
      <c r="E10" s="7">
        <f t="shared" si="3"/>
        <v>452887.21081012493</v>
      </c>
      <c r="F10" s="7">
        <f t="shared" si="3"/>
        <v>291485.4050744999</v>
      </c>
      <c r="G10" s="7">
        <f t="shared" si="3"/>
        <v>298772.5402013624</v>
      </c>
      <c r="H10" s="7">
        <f t="shared" si="3"/>
        <v>306241.85370639642</v>
      </c>
      <c r="I10" s="7">
        <f t="shared" si="3"/>
        <v>313897.90004905633</v>
      </c>
      <c r="J10" s="7">
        <f t="shared" si="3"/>
        <v>321745.34755028272</v>
      </c>
      <c r="K10" s="7">
        <f t="shared" si="3"/>
        <v>329788.98123903974</v>
      </c>
      <c r="M10" s="4" t="s">
        <v>182</v>
      </c>
    </row>
    <row r="11" spans="1:15" x14ac:dyDescent="0.3">
      <c r="A11" s="10">
        <v>3</v>
      </c>
      <c r="B11" s="57">
        <f>Inputs!B23+Inputs!G23</f>
        <v>514578</v>
      </c>
      <c r="C11" s="7">
        <f t="shared" ref="C11:K11" si="4">B10*(1-$N$18)</f>
        <v>526313.28749999998</v>
      </c>
      <c r="D11" s="7">
        <f t="shared" si="4"/>
        <v>439492.41393749998</v>
      </c>
      <c r="E11" s="9">
        <f t="shared" si="4"/>
        <v>425283.92437781248</v>
      </c>
      <c r="F11" s="7">
        <f t="shared" si="4"/>
        <v>435903.94040474528</v>
      </c>
      <c r="G11" s="7">
        <f t="shared" si="4"/>
        <v>280554.70238420618</v>
      </c>
      <c r="H11" s="7">
        <f t="shared" si="4"/>
        <v>287568.56994381134</v>
      </c>
      <c r="I11" s="7">
        <f t="shared" si="4"/>
        <v>294757.78419240657</v>
      </c>
      <c r="J11" s="7">
        <f t="shared" si="4"/>
        <v>302126.72879721673</v>
      </c>
      <c r="K11" s="7">
        <f t="shared" si="4"/>
        <v>309679.8970171471</v>
      </c>
      <c r="M11" s="1" t="s">
        <v>16</v>
      </c>
      <c r="N11" s="5">
        <f>Inputs!B14</f>
        <v>5.0000000000000001E-3</v>
      </c>
      <c r="O11" t="s">
        <v>9</v>
      </c>
    </row>
    <row r="12" spans="1:15" x14ac:dyDescent="0.3">
      <c r="A12" s="10">
        <v>4</v>
      </c>
      <c r="B12" s="57">
        <f>Inputs!B24+Inputs!G24</f>
        <v>462943</v>
      </c>
      <c r="C12" s="7">
        <f t="shared" ref="C12:K12" si="5">B11*(1-$N$19)</f>
        <v>491421.99</v>
      </c>
      <c r="D12" s="7">
        <f t="shared" si="5"/>
        <v>502629.18956249993</v>
      </c>
      <c r="E12" s="7">
        <f t="shared" si="5"/>
        <v>419715.25531031244</v>
      </c>
      <c r="F12" s="9">
        <f t="shared" si="5"/>
        <v>406146.14778081089</v>
      </c>
      <c r="G12" s="7">
        <f t="shared" si="5"/>
        <v>416288.26308653172</v>
      </c>
      <c r="H12" s="7">
        <f t="shared" si="5"/>
        <v>267929.74077691691</v>
      </c>
      <c r="I12" s="7">
        <f t="shared" si="5"/>
        <v>274627.9842963398</v>
      </c>
      <c r="J12" s="7">
        <f t="shared" si="5"/>
        <v>281493.68390374829</v>
      </c>
      <c r="K12" s="7">
        <f t="shared" si="5"/>
        <v>288531.02600134193</v>
      </c>
      <c r="M12" s="1" t="s">
        <v>15</v>
      </c>
      <c r="N12" s="5">
        <f>Inputs!B15</f>
        <v>5.0000000000000001E-3</v>
      </c>
      <c r="O12" t="s">
        <v>9</v>
      </c>
    </row>
    <row r="13" spans="1:15" x14ac:dyDescent="0.3">
      <c r="A13" s="10">
        <v>5</v>
      </c>
      <c r="B13" s="57">
        <f>Inputs!B25+Inputs!G25</f>
        <v>527899</v>
      </c>
      <c r="C13" s="7">
        <f t="shared" ref="C13:K13" si="6">B12*(1-$N$20)</f>
        <v>445351.16599999997</v>
      </c>
      <c r="D13" s="7">
        <f t="shared" si="6"/>
        <v>472747.95437999995</v>
      </c>
      <c r="E13" s="7">
        <f t="shared" si="6"/>
        <v>483529.28035912494</v>
      </c>
      <c r="F13" s="7">
        <f t="shared" si="6"/>
        <v>403766.07560852054</v>
      </c>
      <c r="G13" s="9">
        <f t="shared" si="6"/>
        <v>390712.59416514006</v>
      </c>
      <c r="H13" s="7">
        <f t="shared" si="6"/>
        <v>400469.30908924353</v>
      </c>
      <c r="I13" s="7">
        <f t="shared" si="6"/>
        <v>257748.41062739407</v>
      </c>
      <c r="J13" s="7">
        <f t="shared" si="6"/>
        <v>264192.12089307886</v>
      </c>
      <c r="K13" s="7">
        <f t="shared" si="6"/>
        <v>270796.92391540582</v>
      </c>
    </row>
    <row r="14" spans="1:15" x14ac:dyDescent="0.3">
      <c r="M14" s="4" t="s">
        <v>8</v>
      </c>
    </row>
    <row r="15" spans="1:15" x14ac:dyDescent="0.3">
      <c r="A15" s="10" t="s">
        <v>11</v>
      </c>
      <c r="B15" s="10">
        <f>Inputs!$F$5</f>
        <v>2021</v>
      </c>
      <c r="C15" s="10">
        <f>B15+1</f>
        <v>2022</v>
      </c>
      <c r="D15" s="10">
        <f t="shared" ref="D15:K15" si="7">C15+1</f>
        <v>2023</v>
      </c>
      <c r="E15" s="10">
        <f t="shared" si="7"/>
        <v>2024</v>
      </c>
      <c r="F15" s="10">
        <f t="shared" si="7"/>
        <v>2025</v>
      </c>
      <c r="G15" s="10">
        <f t="shared" si="7"/>
        <v>2026</v>
      </c>
      <c r="H15" s="10">
        <f t="shared" si="7"/>
        <v>2027</v>
      </c>
      <c r="I15" s="10">
        <f t="shared" si="7"/>
        <v>2028</v>
      </c>
      <c r="J15" s="10">
        <f t="shared" si="7"/>
        <v>2029</v>
      </c>
      <c r="K15" s="10">
        <f t="shared" si="7"/>
        <v>2030</v>
      </c>
      <c r="M15" s="11" t="s">
        <v>17</v>
      </c>
      <c r="N15" s="11" t="s">
        <v>13</v>
      </c>
      <c r="O15" s="11" t="s">
        <v>14</v>
      </c>
    </row>
    <row r="16" spans="1:15" x14ac:dyDescent="0.3">
      <c r="A16" s="10">
        <v>0</v>
      </c>
      <c r="B16" s="57">
        <f>Inputs!C20+Inputs!H20</f>
        <v>356132</v>
      </c>
      <c r="C16" s="8">
        <f>Inputs!C20*(1+$N$8)+Inputs!H20*(1+$N$12)</f>
        <v>362360.86000000004</v>
      </c>
      <c r="D16" s="8">
        <f t="shared" ref="D16:K16" si="8">C16*(1+$N$8)</f>
        <v>368702.17505000008</v>
      </c>
      <c r="E16" s="8">
        <f t="shared" si="8"/>
        <v>375154.46311337512</v>
      </c>
      <c r="F16" s="8">
        <f t="shared" si="8"/>
        <v>381719.66621785919</v>
      </c>
      <c r="G16" s="8">
        <f t="shared" si="8"/>
        <v>388399.76037667174</v>
      </c>
      <c r="H16" s="8">
        <f t="shared" si="8"/>
        <v>395196.7561832635</v>
      </c>
      <c r="I16" s="8">
        <f t="shared" si="8"/>
        <v>402112.69941647066</v>
      </c>
      <c r="J16" s="8">
        <f t="shared" si="8"/>
        <v>409149.67165625893</v>
      </c>
      <c r="K16" s="8">
        <f t="shared" si="8"/>
        <v>416309.79091024346</v>
      </c>
      <c r="M16" s="1" t="s">
        <v>1</v>
      </c>
      <c r="N16" s="5">
        <f>Inputs!F10</f>
        <v>0.155</v>
      </c>
      <c r="O16" s="5">
        <f>Inputs!G10</f>
        <v>0.1875</v>
      </c>
    </row>
    <row r="17" spans="1:15" x14ac:dyDescent="0.3">
      <c r="A17" s="10">
        <v>1</v>
      </c>
      <c r="B17" s="57">
        <f>Inputs!C21+Inputs!H21</f>
        <v>333380</v>
      </c>
      <c r="C17" s="9">
        <f t="shared" ref="C17:K17" si="9">B16*(1-$O$16)</f>
        <v>289357.25</v>
      </c>
      <c r="D17" s="7">
        <f t="shared" si="9"/>
        <v>294418.19875000004</v>
      </c>
      <c r="E17" s="7">
        <f t="shared" si="9"/>
        <v>299570.51722812507</v>
      </c>
      <c r="F17" s="7">
        <f t="shared" si="9"/>
        <v>304813.00127961731</v>
      </c>
      <c r="G17" s="7">
        <f t="shared" si="9"/>
        <v>310147.22880201059</v>
      </c>
      <c r="H17" s="7">
        <f t="shared" si="9"/>
        <v>315574.8053060458</v>
      </c>
      <c r="I17" s="7">
        <f t="shared" si="9"/>
        <v>321097.36439890158</v>
      </c>
      <c r="J17" s="7">
        <f t="shared" si="9"/>
        <v>326716.5682758824</v>
      </c>
      <c r="K17" s="7">
        <f t="shared" si="9"/>
        <v>332434.10822071036</v>
      </c>
      <c r="M17" s="1" t="s">
        <v>2</v>
      </c>
      <c r="N17" s="5">
        <f>Inputs!F11</f>
        <v>5.5E-2</v>
      </c>
      <c r="O17" s="5">
        <f>Inputs!G11</f>
        <v>8.5500000000000007E-2</v>
      </c>
    </row>
    <row r="18" spans="1:15" x14ac:dyDescent="0.3">
      <c r="A18" s="10">
        <v>2</v>
      </c>
      <c r="B18" s="57">
        <f>Inputs!C22+Inputs!H22</f>
        <v>426012</v>
      </c>
      <c r="C18" s="7">
        <f t="shared" ref="C18:K18" si="10">B17*(1-$O$17)</f>
        <v>304876.01</v>
      </c>
      <c r="D18" s="9">
        <f t="shared" si="10"/>
        <v>264617.20512499998</v>
      </c>
      <c r="E18" s="7">
        <f t="shared" si="10"/>
        <v>269245.44275687501</v>
      </c>
      <c r="F18" s="7">
        <f t="shared" si="10"/>
        <v>273957.23800512037</v>
      </c>
      <c r="G18" s="7">
        <f t="shared" si="10"/>
        <v>278751.48967021005</v>
      </c>
      <c r="H18" s="7">
        <f t="shared" si="10"/>
        <v>283629.64073943871</v>
      </c>
      <c r="I18" s="7">
        <f t="shared" si="10"/>
        <v>288593.15945237887</v>
      </c>
      <c r="J18" s="7">
        <f t="shared" si="10"/>
        <v>293643.53974279552</v>
      </c>
      <c r="K18" s="7">
        <f t="shared" si="10"/>
        <v>298782.30168829445</v>
      </c>
      <c r="M18" s="1" t="s">
        <v>3</v>
      </c>
      <c r="N18" s="5">
        <f>Inputs!F12</f>
        <v>3.7499999999999999E-2</v>
      </c>
      <c r="O18" s="5">
        <f>Inputs!G12</f>
        <v>5.5800000000000002E-2</v>
      </c>
    </row>
    <row r="19" spans="1:15" x14ac:dyDescent="0.3">
      <c r="A19" s="10">
        <v>3</v>
      </c>
      <c r="B19" s="57">
        <f>Inputs!C23+Inputs!H23</f>
        <v>355321</v>
      </c>
      <c r="C19" s="7">
        <f t="shared" ref="C19:K19" si="11">B18*(1-$O$18)</f>
        <v>402240.53039999999</v>
      </c>
      <c r="D19" s="7">
        <f t="shared" si="11"/>
        <v>287863.92864200001</v>
      </c>
      <c r="E19" s="9">
        <f t="shared" si="11"/>
        <v>249851.56507902499</v>
      </c>
      <c r="F19" s="7">
        <f t="shared" si="11"/>
        <v>254221.54705104139</v>
      </c>
      <c r="G19" s="7">
        <f t="shared" si="11"/>
        <v>258670.42412443465</v>
      </c>
      <c r="H19" s="7">
        <f t="shared" si="11"/>
        <v>263197.15654661233</v>
      </c>
      <c r="I19" s="7">
        <f t="shared" si="11"/>
        <v>267803.10678617802</v>
      </c>
      <c r="J19" s="7">
        <f t="shared" si="11"/>
        <v>272489.66115493613</v>
      </c>
      <c r="K19" s="7">
        <f t="shared" si="11"/>
        <v>277258.23022514756</v>
      </c>
      <c r="M19" s="1" t="s">
        <v>4</v>
      </c>
      <c r="N19" s="5">
        <f>Inputs!F13</f>
        <v>4.4999999999999998E-2</v>
      </c>
      <c r="O19" s="5">
        <f>Inputs!G13</f>
        <v>8.9499999999999996E-2</v>
      </c>
    </row>
    <row r="20" spans="1:15" x14ac:dyDescent="0.3">
      <c r="A20" s="10">
        <v>4</v>
      </c>
      <c r="B20" s="57">
        <f>Inputs!C24+Inputs!H24</f>
        <v>275641</v>
      </c>
      <c r="C20" s="7">
        <f t="shared" ref="C20:K20" si="12">B19*(1-$O$19)</f>
        <v>323519.77049999998</v>
      </c>
      <c r="D20" s="7">
        <f t="shared" si="12"/>
        <v>366240.00292919995</v>
      </c>
      <c r="E20" s="7">
        <f t="shared" si="12"/>
        <v>262100.10702854101</v>
      </c>
      <c r="F20" s="9">
        <f t="shared" si="12"/>
        <v>227489.85000445225</v>
      </c>
      <c r="G20" s="7">
        <f t="shared" si="12"/>
        <v>231468.71858997317</v>
      </c>
      <c r="H20" s="7">
        <f t="shared" si="12"/>
        <v>235519.42116529774</v>
      </c>
      <c r="I20" s="7">
        <f t="shared" si="12"/>
        <v>239641.01103569052</v>
      </c>
      <c r="J20" s="7">
        <f t="shared" si="12"/>
        <v>243834.72872881507</v>
      </c>
      <c r="K20" s="7">
        <f t="shared" si="12"/>
        <v>248101.83648156933</v>
      </c>
      <c r="M20" s="1" t="s">
        <v>5</v>
      </c>
      <c r="N20" s="5">
        <f>Inputs!F14</f>
        <v>3.7999999999999999E-2</v>
      </c>
      <c r="O20" s="5">
        <f>Inputs!G14</f>
        <v>5.45E-2</v>
      </c>
    </row>
    <row r="21" spans="1:15" x14ac:dyDescent="0.3">
      <c r="A21" s="10">
        <v>5</v>
      </c>
      <c r="B21" s="57">
        <f>Inputs!C25+Inputs!H25</f>
        <v>355856</v>
      </c>
      <c r="C21" s="7">
        <f t="shared" ref="C21:K21" si="13">B20*(1-$O$20)</f>
        <v>260618.5655</v>
      </c>
      <c r="D21" s="7">
        <f t="shared" si="13"/>
        <v>305887.94300774997</v>
      </c>
      <c r="E21" s="7">
        <f t="shared" si="13"/>
        <v>346279.92276955856</v>
      </c>
      <c r="F21" s="7">
        <f t="shared" si="13"/>
        <v>247815.65119548552</v>
      </c>
      <c r="G21" s="9">
        <f t="shared" si="13"/>
        <v>215091.65317920959</v>
      </c>
      <c r="H21" s="7">
        <f t="shared" si="13"/>
        <v>218853.67342681965</v>
      </c>
      <c r="I21" s="7">
        <f t="shared" si="13"/>
        <v>222683.61271178903</v>
      </c>
      <c r="J21" s="7">
        <f t="shared" si="13"/>
        <v>226580.5759342454</v>
      </c>
      <c r="K21" s="7">
        <f t="shared" si="13"/>
        <v>230545.73601309466</v>
      </c>
    </row>
    <row r="22" spans="1:15" x14ac:dyDescent="0.3">
      <c r="M22" s="6" t="s">
        <v>6</v>
      </c>
    </row>
    <row r="23" spans="1:15" x14ac:dyDescent="0.3">
      <c r="A23" s="10" t="s">
        <v>12</v>
      </c>
      <c r="B23" s="10">
        <f>Inputs!$F$5</f>
        <v>2021</v>
      </c>
      <c r="C23" s="10">
        <f>B23+1</f>
        <v>2022</v>
      </c>
      <c r="D23" s="10">
        <f t="shared" ref="D23:K23" si="14">C23+1</f>
        <v>2023</v>
      </c>
      <c r="E23" s="10">
        <f t="shared" si="14"/>
        <v>2024</v>
      </c>
      <c r="F23" s="10">
        <f t="shared" si="14"/>
        <v>2025</v>
      </c>
      <c r="G23" s="10">
        <f t="shared" si="14"/>
        <v>2026</v>
      </c>
      <c r="H23" s="10">
        <f t="shared" si="14"/>
        <v>2027</v>
      </c>
      <c r="I23" s="10">
        <f t="shared" si="14"/>
        <v>2028</v>
      </c>
      <c r="J23" s="10">
        <f t="shared" si="14"/>
        <v>2029</v>
      </c>
      <c r="K23" s="10">
        <f t="shared" si="14"/>
        <v>2030</v>
      </c>
      <c r="M23" t="s">
        <v>7</v>
      </c>
    </row>
    <row r="24" spans="1:15" x14ac:dyDescent="0.3">
      <c r="A24" s="10">
        <v>0</v>
      </c>
      <c r="B24" s="57">
        <f>B8+B16</f>
        <v>909469</v>
      </c>
      <c r="C24" s="8">
        <f>C8+C16</f>
        <v>929515.56499999994</v>
      </c>
      <c r="D24" s="8">
        <f t="shared" ref="D24:K24" si="15">D8+D16</f>
        <v>733731.95504999999</v>
      </c>
      <c r="E24" s="8">
        <f t="shared" si="15"/>
        <v>749309.98761337507</v>
      </c>
      <c r="F24" s="8">
        <f t="shared" si="15"/>
        <v>765229.07883035904</v>
      </c>
      <c r="G24" s="8">
        <f t="shared" si="15"/>
        <v>781496.9083044841</v>
      </c>
      <c r="H24" s="8">
        <f t="shared" si="15"/>
        <v>798121.33280927106</v>
      </c>
      <c r="I24" s="8">
        <f t="shared" si="15"/>
        <v>815110.39045812842</v>
      </c>
      <c r="J24" s="8">
        <f t="shared" si="15"/>
        <v>832472.30497395806</v>
      </c>
      <c r="K24" s="8">
        <f t="shared" si="15"/>
        <v>850215.49006088509</v>
      </c>
    </row>
    <row r="25" spans="1:15" x14ac:dyDescent="0.3">
      <c r="A25" s="10">
        <v>1</v>
      </c>
      <c r="B25" s="57">
        <f t="shared" ref="B25:B29" si="16">B9+B17</f>
        <v>816571</v>
      </c>
      <c r="C25" s="9">
        <f>C9+C17</f>
        <v>756927.01500000001</v>
      </c>
      <c r="D25" s="7">
        <f>D9+D17</f>
        <v>773663.92447500001</v>
      </c>
      <c r="E25" s="7">
        <f t="shared" ref="E25:K29" si="17">E9+E17</f>
        <v>608020.68132812507</v>
      </c>
      <c r="F25" s="7">
        <f t="shared" si="17"/>
        <v>620974.41948211729</v>
      </c>
      <c r="G25" s="7">
        <f t="shared" si="17"/>
        <v>634212.68245957303</v>
      </c>
      <c r="H25" s="7">
        <f t="shared" si="17"/>
        <v>647741.89530504728</v>
      </c>
      <c r="I25" s="7">
        <f t="shared" si="17"/>
        <v>661568.63164787809</v>
      </c>
      <c r="J25" s="7">
        <f t="shared" si="17"/>
        <v>675699.61720608314</v>
      </c>
      <c r="K25" s="7">
        <f t="shared" si="17"/>
        <v>690141.73337416619</v>
      </c>
    </row>
    <row r="26" spans="1:15" x14ac:dyDescent="0.3">
      <c r="A26" s="10">
        <v>2</v>
      </c>
      <c r="B26" s="57">
        <f t="shared" si="16"/>
        <v>972831</v>
      </c>
      <c r="C26" s="7">
        <f>C10+C18</f>
        <v>761491.505</v>
      </c>
      <c r="D26" s="9">
        <f>D10+D18</f>
        <v>706470.63304999995</v>
      </c>
      <c r="E26" s="7">
        <f t="shared" si="17"/>
        <v>722132.65356699994</v>
      </c>
      <c r="F26" s="7">
        <f t="shared" si="17"/>
        <v>565442.64307962032</v>
      </c>
      <c r="G26" s="7">
        <f t="shared" si="17"/>
        <v>577524.02987157251</v>
      </c>
      <c r="H26" s="7">
        <f t="shared" si="17"/>
        <v>589871.49444583512</v>
      </c>
      <c r="I26" s="7">
        <f t="shared" si="17"/>
        <v>602491.05950143514</v>
      </c>
      <c r="J26" s="7">
        <f t="shared" si="17"/>
        <v>615388.88729307824</v>
      </c>
      <c r="K26" s="7">
        <f t="shared" si="17"/>
        <v>628571.28292733419</v>
      </c>
    </row>
    <row r="27" spans="1:15" x14ac:dyDescent="0.3">
      <c r="A27" s="10">
        <v>3</v>
      </c>
      <c r="B27" s="57">
        <f t="shared" si="16"/>
        <v>869899</v>
      </c>
      <c r="C27" s="7">
        <f t="shared" ref="C27:D29" si="18">C11+C19</f>
        <v>928553.81789999991</v>
      </c>
      <c r="D27" s="7">
        <f t="shared" si="18"/>
        <v>727356.34257950005</v>
      </c>
      <c r="E27" s="9">
        <f>E11+E19</f>
        <v>675135.48945683753</v>
      </c>
      <c r="F27" s="7">
        <f t="shared" si="17"/>
        <v>690125.48745578667</v>
      </c>
      <c r="G27" s="7">
        <f t="shared" si="17"/>
        <v>539225.12650864082</v>
      </c>
      <c r="H27" s="7">
        <f t="shared" si="17"/>
        <v>550765.72649042367</v>
      </c>
      <c r="I27" s="7">
        <f t="shared" si="17"/>
        <v>562560.89097858453</v>
      </c>
      <c r="J27" s="7">
        <f t="shared" si="17"/>
        <v>574616.38995215285</v>
      </c>
      <c r="K27" s="7">
        <f t="shared" si="17"/>
        <v>586938.12724229461</v>
      </c>
    </row>
    <row r="28" spans="1:15" x14ac:dyDescent="0.3">
      <c r="A28" s="10">
        <v>4</v>
      </c>
      <c r="B28" s="57">
        <f t="shared" si="16"/>
        <v>738584</v>
      </c>
      <c r="C28" s="7">
        <f t="shared" si="18"/>
        <v>814941.76049999997</v>
      </c>
      <c r="D28" s="7">
        <f t="shared" si="18"/>
        <v>868869.19249169994</v>
      </c>
      <c r="E28" s="7">
        <f t="shared" ref="E28" si="19">E12+E20</f>
        <v>681815.36233885342</v>
      </c>
      <c r="F28" s="9">
        <f>F12+F20</f>
        <v>633635.99778526311</v>
      </c>
      <c r="G28" s="7">
        <f t="shared" si="17"/>
        <v>647756.98167650495</v>
      </c>
      <c r="H28" s="7">
        <f t="shared" si="17"/>
        <v>503449.16194221465</v>
      </c>
      <c r="I28" s="7">
        <f t="shared" si="17"/>
        <v>514268.99533203035</v>
      </c>
      <c r="J28" s="7">
        <f t="shared" si="17"/>
        <v>525328.41263256338</v>
      </c>
      <c r="K28" s="7">
        <f t="shared" si="17"/>
        <v>536632.86248291121</v>
      </c>
    </row>
    <row r="29" spans="1:15" x14ac:dyDescent="0.3">
      <c r="A29" s="10">
        <v>5</v>
      </c>
      <c r="B29" s="57">
        <f t="shared" si="16"/>
        <v>883755</v>
      </c>
      <c r="C29" s="7">
        <f t="shared" si="18"/>
        <v>705969.73149999999</v>
      </c>
      <c r="D29" s="7">
        <f t="shared" si="18"/>
        <v>778635.89738774998</v>
      </c>
      <c r="E29" s="7">
        <f t="shared" ref="E29:F29" si="20">E13+E21</f>
        <v>829809.2031286835</v>
      </c>
      <c r="F29" s="7">
        <f t="shared" si="20"/>
        <v>651581.72680400603</v>
      </c>
      <c r="G29" s="9">
        <f>G13+G21</f>
        <v>605804.24734434963</v>
      </c>
      <c r="H29" s="7">
        <f t="shared" si="17"/>
        <v>619322.98251606314</v>
      </c>
      <c r="I29" s="7">
        <f t="shared" si="17"/>
        <v>480432.02333918307</v>
      </c>
      <c r="J29" s="7">
        <f t="shared" si="17"/>
        <v>490772.69682732422</v>
      </c>
      <c r="K29" s="7">
        <f t="shared" si="17"/>
        <v>501342.65992850048</v>
      </c>
    </row>
  </sheetData>
  <sheetProtection algorithmName="SHA-512" hashValue="ujx+mOpVPvUloCRYO42YRJ6GrLwKEEOcJ6mzdPgs3sbMkQRV9ND52fyl3NZZspjEFyejoEM11i+QhAWRyhxEYQ==" saltValue="LANGjsOyr7fVulibT5uUmA==" spinCount="100000" sheet="1" objects="1" scenarios="1"/>
  <phoneticPr fontId="6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7FBF6-1BFA-44F1-9CC5-E99EBE56BF28}">
  <dimension ref="A1:AL31"/>
  <sheetViews>
    <sheetView workbookViewId="0">
      <selection activeCell="F1" sqref="F1"/>
    </sheetView>
  </sheetViews>
  <sheetFormatPr defaultRowHeight="14.4" x14ac:dyDescent="0.3"/>
  <cols>
    <col min="1" max="1" width="17.33203125" customWidth="1"/>
    <col min="2" max="2" width="13.109375" bestFit="1" customWidth="1"/>
    <col min="14" max="14" width="17.44140625" customWidth="1"/>
    <col min="15" max="15" width="13.109375" bestFit="1" customWidth="1"/>
    <col min="27" max="27" width="18.109375" customWidth="1"/>
    <col min="28" max="28" width="13.109375" bestFit="1" customWidth="1"/>
    <col min="40" max="40" width="17.6640625" customWidth="1"/>
  </cols>
  <sheetData>
    <row r="1" spans="1:38" x14ac:dyDescent="0.3">
      <c r="A1" s="48" t="s">
        <v>201</v>
      </c>
      <c r="B1" s="2"/>
    </row>
    <row r="2" spans="1:38" x14ac:dyDescent="0.3">
      <c r="G2" s="61"/>
    </row>
    <row r="3" spans="1:38" x14ac:dyDescent="0.3">
      <c r="A3" s="62" t="s">
        <v>246</v>
      </c>
      <c r="G3" s="61"/>
    </row>
    <row r="4" spans="1:38" x14ac:dyDescent="0.3">
      <c r="G4" s="61"/>
    </row>
    <row r="5" spans="1:38" x14ac:dyDescent="0.3">
      <c r="A5" s="3" t="s">
        <v>39</v>
      </c>
      <c r="N5" s="3" t="s">
        <v>153</v>
      </c>
      <c r="AA5" s="3" t="s">
        <v>40</v>
      </c>
    </row>
    <row r="7" spans="1:38" x14ac:dyDescent="0.3">
      <c r="A7" s="10" t="s">
        <v>51</v>
      </c>
      <c r="B7" s="10" t="s">
        <v>124</v>
      </c>
      <c r="C7" s="10">
        <f>Inputs!$F$5</f>
        <v>2021</v>
      </c>
      <c r="D7" s="10">
        <f>C7+1</f>
        <v>2022</v>
      </c>
      <c r="E7" s="10">
        <f t="shared" ref="E7:L7" si="0">D7+1</f>
        <v>2023</v>
      </c>
      <c r="F7" s="10">
        <f t="shared" si="0"/>
        <v>2024</v>
      </c>
      <c r="G7" s="10">
        <f t="shared" si="0"/>
        <v>2025</v>
      </c>
      <c r="H7" s="10">
        <f t="shared" si="0"/>
        <v>2026</v>
      </c>
      <c r="I7" s="10">
        <f t="shared" si="0"/>
        <v>2027</v>
      </c>
      <c r="J7" s="10">
        <f t="shared" si="0"/>
        <v>2028</v>
      </c>
      <c r="K7" s="10">
        <f t="shared" si="0"/>
        <v>2029</v>
      </c>
      <c r="L7" s="10">
        <f t="shared" si="0"/>
        <v>2030</v>
      </c>
      <c r="N7" s="10" t="s">
        <v>51</v>
      </c>
      <c r="O7" s="10" t="s">
        <v>124</v>
      </c>
      <c r="P7" s="10">
        <f>Inputs!$F$5</f>
        <v>2021</v>
      </c>
      <c r="Q7" s="10">
        <f>P7+1</f>
        <v>2022</v>
      </c>
      <c r="R7" s="10">
        <f t="shared" ref="R7:Y7" si="1">Q7+1</f>
        <v>2023</v>
      </c>
      <c r="S7" s="10">
        <f t="shared" si="1"/>
        <v>2024</v>
      </c>
      <c r="T7" s="10">
        <f t="shared" si="1"/>
        <v>2025</v>
      </c>
      <c r="U7" s="10">
        <f t="shared" si="1"/>
        <v>2026</v>
      </c>
      <c r="V7" s="10">
        <f t="shared" si="1"/>
        <v>2027</v>
      </c>
      <c r="W7" s="10">
        <f t="shared" si="1"/>
        <v>2028</v>
      </c>
      <c r="X7" s="10">
        <f t="shared" si="1"/>
        <v>2029</v>
      </c>
      <c r="Y7" s="10">
        <f t="shared" si="1"/>
        <v>2030</v>
      </c>
      <c r="AA7" s="10" t="s">
        <v>51</v>
      </c>
      <c r="AB7" s="10" t="s">
        <v>124</v>
      </c>
      <c r="AC7" s="10">
        <f>Inputs!$F$5</f>
        <v>2021</v>
      </c>
      <c r="AD7" s="10">
        <f>AC7+1</f>
        <v>2022</v>
      </c>
      <c r="AE7" s="10">
        <f t="shared" ref="AE7:AL7" si="2">AD7+1</f>
        <v>2023</v>
      </c>
      <c r="AF7" s="10">
        <f t="shared" si="2"/>
        <v>2024</v>
      </c>
      <c r="AG7" s="10">
        <f t="shared" si="2"/>
        <v>2025</v>
      </c>
      <c r="AH7" s="10">
        <f t="shared" si="2"/>
        <v>2026</v>
      </c>
      <c r="AI7" s="10">
        <f t="shared" si="2"/>
        <v>2027</v>
      </c>
      <c r="AJ7" s="10">
        <f t="shared" si="2"/>
        <v>2028</v>
      </c>
      <c r="AK7" s="10">
        <f t="shared" si="2"/>
        <v>2029</v>
      </c>
      <c r="AL7" s="10">
        <f t="shared" si="2"/>
        <v>2030</v>
      </c>
    </row>
    <row r="8" spans="1:38" x14ac:dyDescent="0.3">
      <c r="A8" s="10" t="str">
        <f>IF(Inputs!$J$5&gt;1,"Male","Male")</f>
        <v>Male</v>
      </c>
      <c r="B8" s="10" t="str">
        <f>IF(Inputs!$J$5&gt;1,"Pre-Pri Year 1","Pre-Pri Year")</f>
        <v>Pre-Pri Year 1</v>
      </c>
      <c r="C8" s="58">
        <f>Inputs!C31</f>
        <v>0.14000000000000001</v>
      </c>
      <c r="D8" s="17">
        <f>IF((C8-$B$26)&gt;0,(C8-$B$26),"0%")</f>
        <v>0.12000000000000001</v>
      </c>
      <c r="E8" s="17">
        <f t="shared" ref="E8:L8" si="3">IF((D8-$B$26)&gt;0,(D8-$B$26),"0%")</f>
        <v>0.1</v>
      </c>
      <c r="F8" s="17">
        <f t="shared" si="3"/>
        <v>0.08</v>
      </c>
      <c r="G8" s="17">
        <f t="shared" si="3"/>
        <v>0.06</v>
      </c>
      <c r="H8" s="17">
        <f t="shared" si="3"/>
        <v>3.9999999999999994E-2</v>
      </c>
      <c r="I8" s="17">
        <f t="shared" si="3"/>
        <v>1.9999999999999993E-2</v>
      </c>
      <c r="J8" s="17" t="str">
        <f t="shared" si="3"/>
        <v>0%</v>
      </c>
      <c r="K8" s="17" t="str">
        <f t="shared" si="3"/>
        <v>0%</v>
      </c>
      <c r="L8" s="17" t="str">
        <f t="shared" si="3"/>
        <v>0%</v>
      </c>
      <c r="N8" s="10" t="str">
        <f>IF(Inputs!$J$5&gt;1,"Male","Male")</f>
        <v>Male</v>
      </c>
      <c r="O8" s="10" t="str">
        <f>IF(Inputs!$J$5&gt;1,"Pre-Pri Year 1","Pre-Pri Year")</f>
        <v>Pre-Pri Year 1</v>
      </c>
      <c r="P8" s="58">
        <f>Inputs!D31</f>
        <v>0.14000000000000001</v>
      </c>
      <c r="Q8" s="17">
        <f>IF((P8-$B$26)&gt;0,(P8-$B$26),"0%")</f>
        <v>0.12000000000000001</v>
      </c>
      <c r="R8" s="17">
        <f t="shared" ref="R8:Y8" si="4">IF((Q8-$B$26)&gt;0,(Q8-$B$26),"0%")</f>
        <v>0.1</v>
      </c>
      <c r="S8" s="17">
        <f t="shared" si="4"/>
        <v>0.08</v>
      </c>
      <c r="T8" s="17">
        <f t="shared" si="4"/>
        <v>0.06</v>
      </c>
      <c r="U8" s="17">
        <f t="shared" si="4"/>
        <v>3.9999999999999994E-2</v>
      </c>
      <c r="V8" s="17">
        <f t="shared" si="4"/>
        <v>1.9999999999999993E-2</v>
      </c>
      <c r="W8" s="17" t="str">
        <f t="shared" si="4"/>
        <v>0%</v>
      </c>
      <c r="X8" s="17" t="str">
        <f t="shared" si="4"/>
        <v>0%</v>
      </c>
      <c r="Y8" s="17" t="str">
        <f t="shared" si="4"/>
        <v>0%</v>
      </c>
      <c r="AA8" s="10" t="str">
        <f>IF(Inputs!$J$5&gt;1,"Male","Male")</f>
        <v>Male</v>
      </c>
      <c r="AB8" s="10" t="str">
        <f>IF(Inputs!$J$5&gt;1,"Pre-Pri Year 1","Pre-Pri Year")</f>
        <v>Pre-Pri Year 1</v>
      </c>
      <c r="AC8" s="58">
        <f>Inputs!E31</f>
        <v>0.14000000000000001</v>
      </c>
      <c r="AD8" s="17">
        <f>IF((AC8-$B$26)&gt;0,(AC8-$B$26),"0%")</f>
        <v>0.12000000000000001</v>
      </c>
      <c r="AE8" s="17">
        <f t="shared" ref="AE8:AL8" si="5">IF((AD8-$B$26)&gt;0,(AD8-$B$26),"0%")</f>
        <v>0.1</v>
      </c>
      <c r="AF8" s="17">
        <f t="shared" si="5"/>
        <v>0.08</v>
      </c>
      <c r="AG8" s="17">
        <f t="shared" si="5"/>
        <v>0.06</v>
      </c>
      <c r="AH8" s="17">
        <f t="shared" si="5"/>
        <v>3.9999999999999994E-2</v>
      </c>
      <c r="AI8" s="17">
        <f t="shared" si="5"/>
        <v>1.9999999999999993E-2</v>
      </c>
      <c r="AJ8" s="17" t="str">
        <f t="shared" si="5"/>
        <v>0%</v>
      </c>
      <c r="AK8" s="17" t="str">
        <f t="shared" si="5"/>
        <v>0%</v>
      </c>
      <c r="AL8" s="17" t="str">
        <f t="shared" si="5"/>
        <v>0%</v>
      </c>
    </row>
    <row r="9" spans="1:38" x14ac:dyDescent="0.3">
      <c r="A9" s="10" t="str">
        <f>IF(Inputs!$J$5&gt;1,"Male","")</f>
        <v>Male</v>
      </c>
      <c r="B9" s="10" t="str">
        <f>IF(Inputs!$J$5&gt;1,"Pre-Pri Year 2","")</f>
        <v>Pre-Pri Year 2</v>
      </c>
      <c r="C9" s="58">
        <f>Inputs!C32</f>
        <v>0.12</v>
      </c>
      <c r="D9" s="17">
        <f t="shared" ref="D9:L9" si="6">IF((C9-$B$26)&gt;0,(C9-$B$26),"0%")</f>
        <v>9.9999999999999992E-2</v>
      </c>
      <c r="E9" s="17">
        <f t="shared" si="6"/>
        <v>7.9999999999999988E-2</v>
      </c>
      <c r="F9" s="17">
        <f t="shared" si="6"/>
        <v>5.9999999999999984E-2</v>
      </c>
      <c r="G9" s="17">
        <f t="shared" si="6"/>
        <v>3.999999999999998E-2</v>
      </c>
      <c r="H9" s="17">
        <f t="shared" si="6"/>
        <v>1.999999999999998E-2</v>
      </c>
      <c r="I9" s="17" t="str">
        <f t="shared" si="6"/>
        <v>0%</v>
      </c>
      <c r="J9" s="17" t="str">
        <f t="shared" si="6"/>
        <v>0%</v>
      </c>
      <c r="K9" s="17" t="str">
        <f t="shared" si="6"/>
        <v>0%</v>
      </c>
      <c r="L9" s="17" t="str">
        <f t="shared" si="6"/>
        <v>0%</v>
      </c>
      <c r="N9" s="10" t="str">
        <f>IF(Inputs!$J$5&gt;1,"Male","")</f>
        <v>Male</v>
      </c>
      <c r="O9" s="10" t="str">
        <f>IF(Inputs!$J$5&gt;1,"Pre-Pri Year 2","")</f>
        <v>Pre-Pri Year 2</v>
      </c>
      <c r="P9" s="58">
        <f>Inputs!D32</f>
        <v>0.12</v>
      </c>
      <c r="Q9" s="17">
        <f t="shared" ref="Q9:Y9" si="7">IF((P9-$B$26)&gt;0,(P9-$B$26),"0%")</f>
        <v>9.9999999999999992E-2</v>
      </c>
      <c r="R9" s="17">
        <f t="shared" si="7"/>
        <v>7.9999999999999988E-2</v>
      </c>
      <c r="S9" s="17">
        <f t="shared" si="7"/>
        <v>5.9999999999999984E-2</v>
      </c>
      <c r="T9" s="17">
        <f t="shared" si="7"/>
        <v>3.999999999999998E-2</v>
      </c>
      <c r="U9" s="17">
        <f t="shared" si="7"/>
        <v>1.999999999999998E-2</v>
      </c>
      <c r="V9" s="17" t="str">
        <f t="shared" si="7"/>
        <v>0%</v>
      </c>
      <c r="W9" s="17" t="str">
        <f t="shared" si="7"/>
        <v>0%</v>
      </c>
      <c r="X9" s="17" t="str">
        <f t="shared" si="7"/>
        <v>0%</v>
      </c>
      <c r="Y9" s="17" t="str">
        <f t="shared" si="7"/>
        <v>0%</v>
      </c>
      <c r="AA9" s="10" t="str">
        <f>IF(Inputs!$J$5&gt;1,"Male","")</f>
        <v>Male</v>
      </c>
      <c r="AB9" s="10" t="str">
        <f>IF(Inputs!$J$5&gt;1,"Pre-Pri Year 2","")</f>
        <v>Pre-Pri Year 2</v>
      </c>
      <c r="AC9" s="58">
        <f>Inputs!E32</f>
        <v>0.12</v>
      </c>
      <c r="AD9" s="17">
        <f t="shared" ref="AD9:AL9" si="8">IF((AC9-$B$26)&gt;0,(AC9-$B$26),"0%")</f>
        <v>9.9999999999999992E-2</v>
      </c>
      <c r="AE9" s="17">
        <f t="shared" si="8"/>
        <v>7.9999999999999988E-2</v>
      </c>
      <c r="AF9" s="17">
        <f t="shared" si="8"/>
        <v>5.9999999999999984E-2</v>
      </c>
      <c r="AG9" s="17">
        <f t="shared" si="8"/>
        <v>3.999999999999998E-2</v>
      </c>
      <c r="AH9" s="17">
        <f t="shared" si="8"/>
        <v>1.999999999999998E-2</v>
      </c>
      <c r="AI9" s="17" t="str">
        <f t="shared" si="8"/>
        <v>0%</v>
      </c>
      <c r="AJ9" s="17" t="str">
        <f t="shared" si="8"/>
        <v>0%</v>
      </c>
      <c r="AK9" s="17" t="str">
        <f t="shared" si="8"/>
        <v>0%</v>
      </c>
      <c r="AL9" s="17" t="str">
        <f t="shared" si="8"/>
        <v>0%</v>
      </c>
    </row>
    <row r="10" spans="1:38" x14ac:dyDescent="0.3">
      <c r="A10" s="10" t="str">
        <f>IF(Inputs!$J$5=3,"Male","")</f>
        <v>Male</v>
      </c>
      <c r="B10" s="10" t="str">
        <f>IF(Inputs!$J$5=3,"Pre-Pri Year 3","")</f>
        <v>Pre-Pri Year 3</v>
      </c>
      <c r="C10" s="58">
        <f>Inputs!C33</f>
        <v>0.11</v>
      </c>
      <c r="D10" s="17">
        <f t="shared" ref="D10:L10" si="9">IF((C10-$B$26)&gt;0,(C10-$B$26),"0%")</f>
        <v>0.09</v>
      </c>
      <c r="E10" s="17">
        <f t="shared" si="9"/>
        <v>6.9999999999999993E-2</v>
      </c>
      <c r="F10" s="17">
        <f t="shared" si="9"/>
        <v>4.9999999999999989E-2</v>
      </c>
      <c r="G10" s="17">
        <f t="shared" si="9"/>
        <v>2.9999999999999988E-2</v>
      </c>
      <c r="H10" s="17">
        <f t="shared" si="9"/>
        <v>9.9999999999999881E-3</v>
      </c>
      <c r="I10" s="17" t="str">
        <f t="shared" si="9"/>
        <v>0%</v>
      </c>
      <c r="J10" s="17" t="str">
        <f t="shared" si="9"/>
        <v>0%</v>
      </c>
      <c r="K10" s="17" t="str">
        <f t="shared" si="9"/>
        <v>0%</v>
      </c>
      <c r="L10" s="17" t="str">
        <f t="shared" si="9"/>
        <v>0%</v>
      </c>
      <c r="N10" s="10" t="str">
        <f>IF(Inputs!$J$5=3,"Male","")</f>
        <v>Male</v>
      </c>
      <c r="O10" s="10" t="str">
        <f>IF(Inputs!$J$5=3,"Pre-Pri Year 3","")</f>
        <v>Pre-Pri Year 3</v>
      </c>
      <c r="P10" s="58">
        <f>Inputs!D33</f>
        <v>0.11</v>
      </c>
      <c r="Q10" s="17">
        <f t="shared" ref="Q10:Y10" si="10">IF((P10-$B$26)&gt;0,(P10-$B$26),"0%")</f>
        <v>0.09</v>
      </c>
      <c r="R10" s="17">
        <f t="shared" si="10"/>
        <v>6.9999999999999993E-2</v>
      </c>
      <c r="S10" s="17">
        <f t="shared" si="10"/>
        <v>4.9999999999999989E-2</v>
      </c>
      <c r="T10" s="17">
        <f t="shared" si="10"/>
        <v>2.9999999999999988E-2</v>
      </c>
      <c r="U10" s="17">
        <f t="shared" si="10"/>
        <v>9.9999999999999881E-3</v>
      </c>
      <c r="V10" s="17" t="str">
        <f t="shared" si="10"/>
        <v>0%</v>
      </c>
      <c r="W10" s="17" t="str">
        <f t="shared" si="10"/>
        <v>0%</v>
      </c>
      <c r="X10" s="17" t="str">
        <f t="shared" si="10"/>
        <v>0%</v>
      </c>
      <c r="Y10" s="17" t="str">
        <f t="shared" si="10"/>
        <v>0%</v>
      </c>
      <c r="AA10" s="10" t="str">
        <f>IF(Inputs!$J$5=3,"Male","")</f>
        <v>Male</v>
      </c>
      <c r="AB10" s="10" t="str">
        <f>IF(Inputs!$J$5=3,"Pre-Pri Year 3","")</f>
        <v>Pre-Pri Year 3</v>
      </c>
      <c r="AC10" s="58">
        <f>Inputs!E33</f>
        <v>0.11</v>
      </c>
      <c r="AD10" s="17">
        <f t="shared" ref="AD10:AL10" si="11">IF((AC10-$B$26)&gt;0,(AC10-$B$26),"0%")</f>
        <v>0.09</v>
      </c>
      <c r="AE10" s="17">
        <f t="shared" si="11"/>
        <v>6.9999999999999993E-2</v>
      </c>
      <c r="AF10" s="17">
        <f t="shared" si="11"/>
        <v>4.9999999999999989E-2</v>
      </c>
      <c r="AG10" s="17">
        <f t="shared" si="11"/>
        <v>2.9999999999999988E-2</v>
      </c>
      <c r="AH10" s="17">
        <f t="shared" si="11"/>
        <v>9.9999999999999881E-3</v>
      </c>
      <c r="AI10" s="17" t="str">
        <f t="shared" si="11"/>
        <v>0%</v>
      </c>
      <c r="AJ10" s="17" t="str">
        <f t="shared" si="11"/>
        <v>0%</v>
      </c>
      <c r="AK10" s="17" t="str">
        <f t="shared" si="11"/>
        <v>0%</v>
      </c>
      <c r="AL10" s="17" t="str">
        <f t="shared" si="11"/>
        <v>0%</v>
      </c>
    </row>
    <row r="11" spans="1:38" x14ac:dyDescent="0.3">
      <c r="A11" s="10" t="str">
        <f>IF(Inputs!$J$5&gt;1,"Female","Female")</f>
        <v>Female</v>
      </c>
      <c r="B11" s="10" t="str">
        <f>IF(Inputs!$J$5&gt;1,"Pre-Pri Year 1","Pre-Pri Year")</f>
        <v>Pre-Pri Year 1</v>
      </c>
      <c r="C11" s="58">
        <f>Inputs!C34</f>
        <v>0.18</v>
      </c>
      <c r="D11" s="17">
        <f>IF((C11-$B$27)&gt;0,(C11-$B$27),"0%")</f>
        <v>0.16</v>
      </c>
      <c r="E11" s="17">
        <f t="shared" ref="E11:L11" si="12">IF((D11-$B$27)&gt;0,(D11-$B$27),"0%")</f>
        <v>0.14000000000000001</v>
      </c>
      <c r="F11" s="17">
        <f t="shared" si="12"/>
        <v>0.12000000000000001</v>
      </c>
      <c r="G11" s="17">
        <f t="shared" si="12"/>
        <v>0.1</v>
      </c>
      <c r="H11" s="17">
        <f t="shared" si="12"/>
        <v>0.08</v>
      </c>
      <c r="I11" s="17">
        <f t="shared" si="12"/>
        <v>0.06</v>
      </c>
      <c r="J11" s="17">
        <f t="shared" si="12"/>
        <v>3.9999999999999994E-2</v>
      </c>
      <c r="K11" s="17">
        <f t="shared" si="12"/>
        <v>1.9999999999999993E-2</v>
      </c>
      <c r="L11" s="17" t="str">
        <f t="shared" si="12"/>
        <v>0%</v>
      </c>
      <c r="N11" s="10" t="str">
        <f>IF(Inputs!$J$5&gt;1,"Female","Female")</f>
        <v>Female</v>
      </c>
      <c r="O11" s="10" t="str">
        <f>IF(Inputs!$J$5&gt;1,"Pre-Pri Year 1","Pre-Pri Year")</f>
        <v>Pre-Pri Year 1</v>
      </c>
      <c r="P11" s="58">
        <f>Inputs!D34</f>
        <v>0.18</v>
      </c>
      <c r="Q11" s="17">
        <f>IF((P11-$B$27)&gt;0,(P11-$B$27),"0%")</f>
        <v>0.16</v>
      </c>
      <c r="R11" s="17">
        <f t="shared" ref="R11:Y11" si="13">IF((Q11-$B$27)&gt;0,(Q11-$B$27),"0%")</f>
        <v>0.14000000000000001</v>
      </c>
      <c r="S11" s="17">
        <f t="shared" si="13"/>
        <v>0.12000000000000001</v>
      </c>
      <c r="T11" s="17">
        <f t="shared" si="13"/>
        <v>0.1</v>
      </c>
      <c r="U11" s="17">
        <f t="shared" si="13"/>
        <v>0.08</v>
      </c>
      <c r="V11" s="17">
        <f t="shared" si="13"/>
        <v>0.06</v>
      </c>
      <c r="W11" s="17">
        <f t="shared" si="13"/>
        <v>3.9999999999999994E-2</v>
      </c>
      <c r="X11" s="17">
        <f t="shared" si="13"/>
        <v>1.9999999999999993E-2</v>
      </c>
      <c r="Y11" s="17" t="str">
        <f t="shared" si="13"/>
        <v>0%</v>
      </c>
      <c r="AA11" s="10" t="str">
        <f>IF(Inputs!$J$5&gt;1,"Female","Female")</f>
        <v>Female</v>
      </c>
      <c r="AB11" s="10" t="str">
        <f>IF(Inputs!$J$5&gt;1,"Pre-Pri Year 1","Pre-Pri Year")</f>
        <v>Pre-Pri Year 1</v>
      </c>
      <c r="AC11" s="58">
        <f>Inputs!E34</f>
        <v>0.18</v>
      </c>
      <c r="AD11" s="17">
        <f>IF((AC11-$B$27)&gt;0,(AC11-$B$27),"0%")</f>
        <v>0.16</v>
      </c>
      <c r="AE11" s="17">
        <f t="shared" ref="AE11:AL11" si="14">IF((AD11-$B$27)&gt;0,(AD11-$B$27),"0%")</f>
        <v>0.14000000000000001</v>
      </c>
      <c r="AF11" s="17">
        <f t="shared" si="14"/>
        <v>0.12000000000000001</v>
      </c>
      <c r="AG11" s="17">
        <f t="shared" si="14"/>
        <v>0.1</v>
      </c>
      <c r="AH11" s="17">
        <f t="shared" si="14"/>
        <v>0.08</v>
      </c>
      <c r="AI11" s="17">
        <f t="shared" si="14"/>
        <v>0.06</v>
      </c>
      <c r="AJ11" s="17">
        <f t="shared" si="14"/>
        <v>3.9999999999999994E-2</v>
      </c>
      <c r="AK11" s="17">
        <f t="shared" si="14"/>
        <v>1.9999999999999993E-2</v>
      </c>
      <c r="AL11" s="17" t="str">
        <f t="shared" si="14"/>
        <v>0%</v>
      </c>
    </row>
    <row r="12" spans="1:38" x14ac:dyDescent="0.3">
      <c r="A12" s="10" t="str">
        <f>IF(Inputs!$J$5&gt;1,"Female","")</f>
        <v>Female</v>
      </c>
      <c r="B12" s="10" t="str">
        <f>IF(Inputs!$J$5&gt;1,"Pre-Pri Year 2","")</f>
        <v>Pre-Pri Year 2</v>
      </c>
      <c r="C12" s="58">
        <f>Inputs!C35</f>
        <v>0.16</v>
      </c>
      <c r="D12" s="17">
        <f t="shared" ref="D12:L13" si="15">IF((C12-$B$27)&gt;0,(C12-$B$27),"0%")</f>
        <v>0.14000000000000001</v>
      </c>
      <c r="E12" s="17">
        <f t="shared" si="15"/>
        <v>0.12000000000000001</v>
      </c>
      <c r="F12" s="17">
        <f t="shared" si="15"/>
        <v>0.1</v>
      </c>
      <c r="G12" s="17">
        <f t="shared" si="15"/>
        <v>0.08</v>
      </c>
      <c r="H12" s="17">
        <f t="shared" si="15"/>
        <v>0.06</v>
      </c>
      <c r="I12" s="17">
        <f t="shared" si="15"/>
        <v>3.9999999999999994E-2</v>
      </c>
      <c r="J12" s="17">
        <f t="shared" si="15"/>
        <v>1.9999999999999993E-2</v>
      </c>
      <c r="K12" s="17" t="str">
        <f t="shared" si="15"/>
        <v>0%</v>
      </c>
      <c r="L12" s="17" t="str">
        <f t="shared" si="15"/>
        <v>0%</v>
      </c>
      <c r="N12" s="10" t="str">
        <f>IF(Inputs!$J$5&gt;1,"Female","")</f>
        <v>Female</v>
      </c>
      <c r="O12" s="10" t="str">
        <f>IF(Inputs!$J$5&gt;1,"Pre-Pri Year 2","")</f>
        <v>Pre-Pri Year 2</v>
      </c>
      <c r="P12" s="58">
        <f>Inputs!D35</f>
        <v>0.16</v>
      </c>
      <c r="Q12" s="17">
        <f t="shared" ref="Q12:Y12" si="16">IF((P12-$B$27)&gt;0,(P12-$B$27),"0%")</f>
        <v>0.14000000000000001</v>
      </c>
      <c r="R12" s="17">
        <f t="shared" si="16"/>
        <v>0.12000000000000001</v>
      </c>
      <c r="S12" s="17">
        <f t="shared" si="16"/>
        <v>0.1</v>
      </c>
      <c r="T12" s="17">
        <f t="shared" si="16"/>
        <v>0.08</v>
      </c>
      <c r="U12" s="17">
        <f t="shared" si="16"/>
        <v>0.06</v>
      </c>
      <c r="V12" s="17">
        <f t="shared" si="16"/>
        <v>3.9999999999999994E-2</v>
      </c>
      <c r="W12" s="17">
        <f t="shared" si="16"/>
        <v>1.9999999999999993E-2</v>
      </c>
      <c r="X12" s="17" t="str">
        <f t="shared" si="16"/>
        <v>0%</v>
      </c>
      <c r="Y12" s="17" t="str">
        <f t="shared" si="16"/>
        <v>0%</v>
      </c>
      <c r="AA12" s="10" t="str">
        <f>IF(Inputs!$J$5&gt;1,"Female","")</f>
        <v>Female</v>
      </c>
      <c r="AB12" s="10" t="str">
        <f>IF(Inputs!$J$5&gt;1,"Pre-Pri Year 2","")</f>
        <v>Pre-Pri Year 2</v>
      </c>
      <c r="AC12" s="58">
        <f>Inputs!E35</f>
        <v>0.16</v>
      </c>
      <c r="AD12" s="17">
        <f t="shared" ref="AD12:AL12" si="17">IF((AC12-$B$27)&gt;0,(AC12-$B$27),"0%")</f>
        <v>0.14000000000000001</v>
      </c>
      <c r="AE12" s="17">
        <f t="shared" si="17"/>
        <v>0.12000000000000001</v>
      </c>
      <c r="AF12" s="17">
        <f t="shared" si="17"/>
        <v>0.1</v>
      </c>
      <c r="AG12" s="17">
        <f t="shared" si="17"/>
        <v>0.08</v>
      </c>
      <c r="AH12" s="17">
        <f t="shared" si="17"/>
        <v>0.06</v>
      </c>
      <c r="AI12" s="17">
        <f t="shared" si="17"/>
        <v>3.9999999999999994E-2</v>
      </c>
      <c r="AJ12" s="17">
        <f t="shared" si="17"/>
        <v>1.9999999999999993E-2</v>
      </c>
      <c r="AK12" s="17" t="str">
        <f t="shared" si="17"/>
        <v>0%</v>
      </c>
      <c r="AL12" s="17" t="str">
        <f t="shared" si="17"/>
        <v>0%</v>
      </c>
    </row>
    <row r="13" spans="1:38" x14ac:dyDescent="0.3">
      <c r="A13" s="10" t="str">
        <f>IF(Inputs!$J$5=3,"Female","")</f>
        <v>Female</v>
      </c>
      <c r="B13" s="10" t="str">
        <f>IF(Inputs!$J$5=3,"Pre-Pri Year 3","")</f>
        <v>Pre-Pri Year 3</v>
      </c>
      <c r="C13" s="58">
        <f>Inputs!C36</f>
        <v>0.14000000000000001</v>
      </c>
      <c r="D13" s="17">
        <f t="shared" si="15"/>
        <v>0.12000000000000001</v>
      </c>
      <c r="E13" s="17">
        <f t="shared" si="15"/>
        <v>0.1</v>
      </c>
      <c r="F13" s="17">
        <f t="shared" si="15"/>
        <v>0.08</v>
      </c>
      <c r="G13" s="17">
        <f t="shared" si="15"/>
        <v>0.06</v>
      </c>
      <c r="H13" s="17">
        <f t="shared" si="15"/>
        <v>3.9999999999999994E-2</v>
      </c>
      <c r="I13" s="17">
        <f t="shared" si="15"/>
        <v>1.9999999999999993E-2</v>
      </c>
      <c r="J13" s="17" t="str">
        <f t="shared" si="15"/>
        <v>0%</v>
      </c>
      <c r="K13" s="17" t="str">
        <f t="shared" si="15"/>
        <v>0%</v>
      </c>
      <c r="L13" s="17" t="str">
        <f t="shared" si="15"/>
        <v>0%</v>
      </c>
      <c r="N13" s="10" t="str">
        <f>IF(Inputs!$J$5=3,"Female","")</f>
        <v>Female</v>
      </c>
      <c r="O13" s="10" t="str">
        <f>IF(Inputs!$J$5=3,"Pre-Pri Year 3","")</f>
        <v>Pre-Pri Year 3</v>
      </c>
      <c r="P13" s="58">
        <f>Inputs!D36</f>
        <v>0.14000000000000001</v>
      </c>
      <c r="Q13" s="17">
        <f t="shared" ref="Q13:Y13" si="18">IF((P13-$B$27)&gt;0,(P13-$B$27),"0%")</f>
        <v>0.12000000000000001</v>
      </c>
      <c r="R13" s="17">
        <f t="shared" si="18"/>
        <v>0.1</v>
      </c>
      <c r="S13" s="17">
        <f t="shared" si="18"/>
        <v>0.08</v>
      </c>
      <c r="T13" s="17">
        <f t="shared" si="18"/>
        <v>0.06</v>
      </c>
      <c r="U13" s="17">
        <f t="shared" si="18"/>
        <v>3.9999999999999994E-2</v>
      </c>
      <c r="V13" s="17">
        <f t="shared" si="18"/>
        <v>1.9999999999999993E-2</v>
      </c>
      <c r="W13" s="17" t="str">
        <f t="shared" si="18"/>
        <v>0%</v>
      </c>
      <c r="X13" s="17" t="str">
        <f t="shared" si="18"/>
        <v>0%</v>
      </c>
      <c r="Y13" s="17" t="str">
        <f t="shared" si="18"/>
        <v>0%</v>
      </c>
      <c r="AA13" s="10" t="str">
        <f>IF(Inputs!$J$5=3,"Female","")</f>
        <v>Female</v>
      </c>
      <c r="AB13" s="10" t="str">
        <f>IF(Inputs!$J$5=3,"Pre-Pri Year 3","")</f>
        <v>Pre-Pri Year 3</v>
      </c>
      <c r="AC13" s="58">
        <f>Inputs!E36</f>
        <v>0.14000000000000001</v>
      </c>
      <c r="AD13" s="17">
        <f t="shared" ref="AD13:AL13" si="19">IF((AC13-$B$27)&gt;0,(AC13-$B$27),"0%")</f>
        <v>0.12000000000000001</v>
      </c>
      <c r="AE13" s="17">
        <f t="shared" si="19"/>
        <v>0.1</v>
      </c>
      <c r="AF13" s="17">
        <f t="shared" si="19"/>
        <v>0.08</v>
      </c>
      <c r="AG13" s="17">
        <f t="shared" si="19"/>
        <v>0.06</v>
      </c>
      <c r="AH13" s="17">
        <f t="shared" si="19"/>
        <v>3.9999999999999994E-2</v>
      </c>
      <c r="AI13" s="17">
        <f t="shared" si="19"/>
        <v>1.9999999999999993E-2</v>
      </c>
      <c r="AJ13" s="17" t="str">
        <f t="shared" si="19"/>
        <v>0%</v>
      </c>
      <c r="AK13" s="17" t="str">
        <f t="shared" si="19"/>
        <v>0%</v>
      </c>
      <c r="AL13" s="17" t="str">
        <f t="shared" si="19"/>
        <v>0%</v>
      </c>
    </row>
    <row r="15" spans="1:38" x14ac:dyDescent="0.3">
      <c r="A15" s="3" t="s">
        <v>41</v>
      </c>
      <c r="N15" s="3" t="s">
        <v>154</v>
      </c>
      <c r="AA15" s="3" t="s">
        <v>42</v>
      </c>
    </row>
    <row r="17" spans="1:38" x14ac:dyDescent="0.3">
      <c r="A17" s="10" t="s">
        <v>51</v>
      </c>
      <c r="B17" s="10" t="s">
        <v>124</v>
      </c>
      <c r="C17" s="10">
        <f>Inputs!$F$5</f>
        <v>2021</v>
      </c>
      <c r="D17" s="10">
        <f>C17+1</f>
        <v>2022</v>
      </c>
      <c r="E17" s="10">
        <f t="shared" ref="E17:L17" si="20">D17+1</f>
        <v>2023</v>
      </c>
      <c r="F17" s="10">
        <f t="shared" si="20"/>
        <v>2024</v>
      </c>
      <c r="G17" s="10">
        <f t="shared" si="20"/>
        <v>2025</v>
      </c>
      <c r="H17" s="10">
        <f t="shared" si="20"/>
        <v>2026</v>
      </c>
      <c r="I17" s="10">
        <f t="shared" si="20"/>
        <v>2027</v>
      </c>
      <c r="J17" s="10">
        <f t="shared" si="20"/>
        <v>2028</v>
      </c>
      <c r="K17" s="10">
        <f t="shared" si="20"/>
        <v>2029</v>
      </c>
      <c r="L17" s="10">
        <f t="shared" si="20"/>
        <v>2030</v>
      </c>
      <c r="N17" s="10" t="s">
        <v>51</v>
      </c>
      <c r="O17" s="10" t="s">
        <v>124</v>
      </c>
      <c r="P17" s="10">
        <f>Inputs!$F$5</f>
        <v>2021</v>
      </c>
      <c r="Q17" s="10">
        <f>P17+1</f>
        <v>2022</v>
      </c>
      <c r="R17" s="10">
        <f t="shared" ref="R17:Y17" si="21">Q17+1</f>
        <v>2023</v>
      </c>
      <c r="S17" s="10">
        <f t="shared" si="21"/>
        <v>2024</v>
      </c>
      <c r="T17" s="10">
        <f t="shared" si="21"/>
        <v>2025</v>
      </c>
      <c r="U17" s="10">
        <f t="shared" si="21"/>
        <v>2026</v>
      </c>
      <c r="V17" s="10">
        <f t="shared" si="21"/>
        <v>2027</v>
      </c>
      <c r="W17" s="10">
        <f t="shared" si="21"/>
        <v>2028</v>
      </c>
      <c r="X17" s="10">
        <f t="shared" si="21"/>
        <v>2029</v>
      </c>
      <c r="Y17" s="10">
        <f t="shared" si="21"/>
        <v>2030</v>
      </c>
      <c r="AA17" s="10" t="s">
        <v>51</v>
      </c>
      <c r="AB17" s="10" t="s">
        <v>124</v>
      </c>
      <c r="AC17" s="10">
        <f>Inputs!$F$5</f>
        <v>2021</v>
      </c>
      <c r="AD17" s="10">
        <f>AC17+1</f>
        <v>2022</v>
      </c>
      <c r="AE17" s="10">
        <f t="shared" ref="AE17:AL17" si="22">AD17+1</f>
        <v>2023</v>
      </c>
      <c r="AF17" s="10">
        <f t="shared" si="22"/>
        <v>2024</v>
      </c>
      <c r="AG17" s="10">
        <f t="shared" si="22"/>
        <v>2025</v>
      </c>
      <c r="AH17" s="10">
        <f t="shared" si="22"/>
        <v>2026</v>
      </c>
      <c r="AI17" s="10">
        <f t="shared" si="22"/>
        <v>2027</v>
      </c>
      <c r="AJ17" s="10">
        <f t="shared" si="22"/>
        <v>2028</v>
      </c>
      <c r="AK17" s="10">
        <f t="shared" si="22"/>
        <v>2029</v>
      </c>
      <c r="AL17" s="10">
        <f t="shared" si="22"/>
        <v>2030</v>
      </c>
    </row>
    <row r="18" spans="1:38" x14ac:dyDescent="0.3">
      <c r="A18" s="10" t="str">
        <f>IF(Inputs!$J$5&gt;1,"Male","Male")</f>
        <v>Male</v>
      </c>
      <c r="B18" s="10" t="str">
        <f>IF(Inputs!$J$5&gt;1,"Pre-Pri Year 1","Pre-Pri Year")</f>
        <v>Pre-Pri Year 1</v>
      </c>
      <c r="C18" s="58">
        <f>Inputs!I31</f>
        <v>0.11</v>
      </c>
      <c r="D18" s="17">
        <f>IF((C18-$B$30)&gt;0,(C18-$B$30),"0%")</f>
        <v>0.1</v>
      </c>
      <c r="E18" s="17">
        <f t="shared" ref="E18:L18" si="23">IF((D18-$B$30)&gt;0,(D18-$B$30),"0%")</f>
        <v>9.0000000000000011E-2</v>
      </c>
      <c r="F18" s="17">
        <f t="shared" si="23"/>
        <v>8.0000000000000016E-2</v>
      </c>
      <c r="G18" s="17">
        <f t="shared" si="23"/>
        <v>7.0000000000000021E-2</v>
      </c>
      <c r="H18" s="17">
        <f t="shared" si="23"/>
        <v>6.0000000000000019E-2</v>
      </c>
      <c r="I18" s="17">
        <f t="shared" si="23"/>
        <v>5.0000000000000017E-2</v>
      </c>
      <c r="J18" s="17">
        <f t="shared" si="23"/>
        <v>4.0000000000000015E-2</v>
      </c>
      <c r="K18" s="17">
        <f t="shared" si="23"/>
        <v>3.0000000000000013E-2</v>
      </c>
      <c r="L18" s="17">
        <f t="shared" si="23"/>
        <v>2.0000000000000011E-2</v>
      </c>
      <c r="N18" s="10" t="str">
        <f>IF(Inputs!$J$5&gt;1,"Male","Male")</f>
        <v>Male</v>
      </c>
      <c r="O18" s="10" t="str">
        <f>IF(Inputs!$J$5&gt;1,"Pre-Pri Year 1","Pre-Pri Year")</f>
        <v>Pre-Pri Year 1</v>
      </c>
      <c r="P18" s="58">
        <f>Inputs!J31</f>
        <v>0.11</v>
      </c>
      <c r="Q18" s="17">
        <f>IF((P18-$B$30)&gt;0,(P18-$B$30),"0%")</f>
        <v>0.1</v>
      </c>
      <c r="R18" s="17">
        <f t="shared" ref="R18:Y18" si="24">IF((Q18-$B$30)&gt;0,(Q18-$B$30),"0%")</f>
        <v>9.0000000000000011E-2</v>
      </c>
      <c r="S18" s="17">
        <f t="shared" si="24"/>
        <v>8.0000000000000016E-2</v>
      </c>
      <c r="T18" s="17">
        <f t="shared" si="24"/>
        <v>7.0000000000000021E-2</v>
      </c>
      <c r="U18" s="17">
        <f t="shared" si="24"/>
        <v>6.0000000000000019E-2</v>
      </c>
      <c r="V18" s="17">
        <f t="shared" si="24"/>
        <v>5.0000000000000017E-2</v>
      </c>
      <c r="W18" s="17">
        <f t="shared" si="24"/>
        <v>4.0000000000000015E-2</v>
      </c>
      <c r="X18" s="17">
        <f t="shared" si="24"/>
        <v>3.0000000000000013E-2</v>
      </c>
      <c r="Y18" s="17">
        <f t="shared" si="24"/>
        <v>2.0000000000000011E-2</v>
      </c>
      <c r="AA18" s="10" t="str">
        <f>IF(Inputs!$J$5&gt;1,"Male","Male")</f>
        <v>Male</v>
      </c>
      <c r="AB18" s="10" t="str">
        <f>IF(Inputs!$J$5&gt;1,"Pre-Pri Year 1","Pre-Pri Year")</f>
        <v>Pre-Pri Year 1</v>
      </c>
      <c r="AC18" s="58">
        <f>Inputs!K31</f>
        <v>0.11</v>
      </c>
      <c r="AD18" s="17">
        <f>IF((AC18-$B$30)&gt;0,(AC18-$B$30),"0%")</f>
        <v>0.1</v>
      </c>
      <c r="AE18" s="17">
        <f t="shared" ref="AE18:AL18" si="25">IF((AD18-$B$30)&gt;0,(AD18-$B$30),"0%")</f>
        <v>9.0000000000000011E-2</v>
      </c>
      <c r="AF18" s="17">
        <f t="shared" si="25"/>
        <v>8.0000000000000016E-2</v>
      </c>
      <c r="AG18" s="17">
        <f t="shared" si="25"/>
        <v>7.0000000000000021E-2</v>
      </c>
      <c r="AH18" s="17">
        <f t="shared" si="25"/>
        <v>6.0000000000000019E-2</v>
      </c>
      <c r="AI18" s="17">
        <f t="shared" si="25"/>
        <v>5.0000000000000017E-2</v>
      </c>
      <c r="AJ18" s="17">
        <f t="shared" si="25"/>
        <v>4.0000000000000015E-2</v>
      </c>
      <c r="AK18" s="17">
        <f t="shared" si="25"/>
        <v>3.0000000000000013E-2</v>
      </c>
      <c r="AL18" s="17">
        <f t="shared" si="25"/>
        <v>2.0000000000000011E-2</v>
      </c>
    </row>
    <row r="19" spans="1:38" x14ac:dyDescent="0.3">
      <c r="A19" s="10" t="str">
        <f>IF(Inputs!$J$5&gt;1,"Male","")</f>
        <v>Male</v>
      </c>
      <c r="B19" s="10" t="str">
        <f>IF(Inputs!$J$5&gt;1,"Pre-Pri Year 2","")</f>
        <v>Pre-Pri Year 2</v>
      </c>
      <c r="C19" s="58">
        <f>Inputs!I32</f>
        <v>0.09</v>
      </c>
      <c r="D19" s="17">
        <f t="shared" ref="D19:L20" si="26">IF((C19-$B$30)&gt;0,(C19-$B$30),"0%")</f>
        <v>0.08</v>
      </c>
      <c r="E19" s="17">
        <f t="shared" si="26"/>
        <v>7.0000000000000007E-2</v>
      </c>
      <c r="F19" s="17">
        <f t="shared" si="26"/>
        <v>6.0000000000000005E-2</v>
      </c>
      <c r="G19" s="17">
        <f t="shared" si="26"/>
        <v>0.05</v>
      </c>
      <c r="H19" s="17">
        <f t="shared" si="26"/>
        <v>0.04</v>
      </c>
      <c r="I19" s="17">
        <f t="shared" si="26"/>
        <v>0.03</v>
      </c>
      <c r="J19" s="17">
        <f t="shared" si="26"/>
        <v>1.9999999999999997E-2</v>
      </c>
      <c r="K19" s="17">
        <f t="shared" si="26"/>
        <v>9.9999999999999967E-3</v>
      </c>
      <c r="L19" s="17" t="str">
        <f t="shared" si="26"/>
        <v>0%</v>
      </c>
      <c r="N19" s="10" t="str">
        <f>IF(Inputs!$J$5&gt;1,"Male","")</f>
        <v>Male</v>
      </c>
      <c r="O19" s="10" t="str">
        <f>IF(Inputs!$J$5&gt;1,"Pre-Pri Year 2","")</f>
        <v>Pre-Pri Year 2</v>
      </c>
      <c r="P19" s="58">
        <f>Inputs!J32</f>
        <v>0.09</v>
      </c>
      <c r="Q19" s="17">
        <f t="shared" ref="Q19:Y19" si="27">IF((P19-$B$30)&gt;0,(P19-$B$30),"0%")</f>
        <v>0.08</v>
      </c>
      <c r="R19" s="17">
        <f t="shared" si="27"/>
        <v>7.0000000000000007E-2</v>
      </c>
      <c r="S19" s="17">
        <f t="shared" si="27"/>
        <v>6.0000000000000005E-2</v>
      </c>
      <c r="T19" s="17">
        <f t="shared" si="27"/>
        <v>0.05</v>
      </c>
      <c r="U19" s="17">
        <f t="shared" si="27"/>
        <v>0.04</v>
      </c>
      <c r="V19" s="17">
        <f t="shared" si="27"/>
        <v>0.03</v>
      </c>
      <c r="W19" s="17">
        <f t="shared" si="27"/>
        <v>1.9999999999999997E-2</v>
      </c>
      <c r="X19" s="17">
        <f t="shared" si="27"/>
        <v>9.9999999999999967E-3</v>
      </c>
      <c r="Y19" s="17" t="str">
        <f t="shared" si="27"/>
        <v>0%</v>
      </c>
      <c r="AA19" s="10" t="str">
        <f>IF(Inputs!$J$5&gt;1,"Male","")</f>
        <v>Male</v>
      </c>
      <c r="AB19" s="10" t="str">
        <f>IF(Inputs!$J$5&gt;1,"Pre-Pri Year 2","")</f>
        <v>Pre-Pri Year 2</v>
      </c>
      <c r="AC19" s="58">
        <f>Inputs!K32</f>
        <v>0.09</v>
      </c>
      <c r="AD19" s="17">
        <f t="shared" ref="AD19:AL19" si="28">IF((AC19-$B$30)&gt;0,(AC19-$B$30),"0%")</f>
        <v>0.08</v>
      </c>
      <c r="AE19" s="17">
        <f t="shared" si="28"/>
        <v>7.0000000000000007E-2</v>
      </c>
      <c r="AF19" s="17">
        <f t="shared" si="28"/>
        <v>6.0000000000000005E-2</v>
      </c>
      <c r="AG19" s="17">
        <f t="shared" si="28"/>
        <v>0.05</v>
      </c>
      <c r="AH19" s="17">
        <f t="shared" si="28"/>
        <v>0.04</v>
      </c>
      <c r="AI19" s="17">
        <f t="shared" si="28"/>
        <v>0.03</v>
      </c>
      <c r="AJ19" s="17">
        <f t="shared" si="28"/>
        <v>1.9999999999999997E-2</v>
      </c>
      <c r="AK19" s="17">
        <f t="shared" si="28"/>
        <v>9.9999999999999967E-3</v>
      </c>
      <c r="AL19" s="17" t="str">
        <f t="shared" si="28"/>
        <v>0%</v>
      </c>
    </row>
    <row r="20" spans="1:38" x14ac:dyDescent="0.3">
      <c r="A20" s="10" t="str">
        <f>IF(Inputs!$J$5=3,"Male","")</f>
        <v>Male</v>
      </c>
      <c r="B20" s="10" t="str">
        <f>IF(Inputs!$J$5=3,"Pre-Pri Year 3","")</f>
        <v>Pre-Pri Year 3</v>
      </c>
      <c r="C20" s="58">
        <f>Inputs!I33</f>
        <v>7.0000000000000007E-2</v>
      </c>
      <c r="D20" s="17">
        <f t="shared" si="26"/>
        <v>6.0000000000000005E-2</v>
      </c>
      <c r="E20" s="17">
        <f t="shared" si="26"/>
        <v>0.05</v>
      </c>
      <c r="F20" s="17">
        <f t="shared" si="26"/>
        <v>0.04</v>
      </c>
      <c r="G20" s="17">
        <f t="shared" si="26"/>
        <v>0.03</v>
      </c>
      <c r="H20" s="17">
        <f t="shared" si="26"/>
        <v>1.9999999999999997E-2</v>
      </c>
      <c r="I20" s="17">
        <f t="shared" si="26"/>
        <v>9.9999999999999967E-3</v>
      </c>
      <c r="J20" s="17" t="str">
        <f t="shared" si="26"/>
        <v>0%</v>
      </c>
      <c r="K20" s="17" t="str">
        <f t="shared" si="26"/>
        <v>0%</v>
      </c>
      <c r="L20" s="17" t="str">
        <f t="shared" si="26"/>
        <v>0%</v>
      </c>
      <c r="N20" s="10" t="str">
        <f>IF(Inputs!$J$5=3,"Male","")</f>
        <v>Male</v>
      </c>
      <c r="O20" s="10" t="str">
        <f>IF(Inputs!$J$5=3,"Pre-Pri Year 3","")</f>
        <v>Pre-Pri Year 3</v>
      </c>
      <c r="P20" s="58">
        <f>Inputs!J33</f>
        <v>7.0000000000000007E-2</v>
      </c>
      <c r="Q20" s="17">
        <f t="shared" ref="Q20:Y20" si="29">IF((P20-$B$30)&gt;0,(P20-$B$30),"0%")</f>
        <v>6.0000000000000005E-2</v>
      </c>
      <c r="R20" s="17">
        <f t="shared" si="29"/>
        <v>0.05</v>
      </c>
      <c r="S20" s="17">
        <f t="shared" si="29"/>
        <v>0.04</v>
      </c>
      <c r="T20" s="17">
        <f t="shared" si="29"/>
        <v>0.03</v>
      </c>
      <c r="U20" s="17">
        <f t="shared" si="29"/>
        <v>1.9999999999999997E-2</v>
      </c>
      <c r="V20" s="17">
        <f t="shared" si="29"/>
        <v>9.9999999999999967E-3</v>
      </c>
      <c r="W20" s="17" t="str">
        <f t="shared" si="29"/>
        <v>0%</v>
      </c>
      <c r="X20" s="17" t="str">
        <f t="shared" si="29"/>
        <v>0%</v>
      </c>
      <c r="Y20" s="17" t="str">
        <f t="shared" si="29"/>
        <v>0%</v>
      </c>
      <c r="AA20" s="10" t="str">
        <f>IF(Inputs!$J$5=3,"Male","")</f>
        <v>Male</v>
      </c>
      <c r="AB20" s="10" t="str">
        <f>IF(Inputs!$J$5=3,"Pre-Pri Year 3","")</f>
        <v>Pre-Pri Year 3</v>
      </c>
      <c r="AC20" s="58">
        <f>Inputs!K33</f>
        <v>7.0000000000000007E-2</v>
      </c>
      <c r="AD20" s="17">
        <f t="shared" ref="AD20:AL20" si="30">IF((AC20-$B$30)&gt;0,(AC20-$B$30),"0%")</f>
        <v>6.0000000000000005E-2</v>
      </c>
      <c r="AE20" s="17">
        <f t="shared" si="30"/>
        <v>0.05</v>
      </c>
      <c r="AF20" s="17">
        <f t="shared" si="30"/>
        <v>0.04</v>
      </c>
      <c r="AG20" s="17">
        <f t="shared" si="30"/>
        <v>0.03</v>
      </c>
      <c r="AH20" s="17">
        <f t="shared" si="30"/>
        <v>1.9999999999999997E-2</v>
      </c>
      <c r="AI20" s="17">
        <f t="shared" si="30"/>
        <v>9.9999999999999967E-3</v>
      </c>
      <c r="AJ20" s="17" t="str">
        <f t="shared" si="30"/>
        <v>0%</v>
      </c>
      <c r="AK20" s="17" t="str">
        <f t="shared" si="30"/>
        <v>0%</v>
      </c>
      <c r="AL20" s="17" t="str">
        <f t="shared" si="30"/>
        <v>0%</v>
      </c>
    </row>
    <row r="21" spans="1:38" x14ac:dyDescent="0.3">
      <c r="A21" s="10" t="str">
        <f>IF(Inputs!$J$5&gt;1,"Female","Female")</f>
        <v>Female</v>
      </c>
      <c r="B21" s="10" t="str">
        <f>IF(Inputs!$J$5&gt;1,"Pre-Pri Year 1","Pre-Pri Year")</f>
        <v>Pre-Pri Year 1</v>
      </c>
      <c r="C21" s="58">
        <f>Inputs!I34</f>
        <v>0.13</v>
      </c>
      <c r="D21" s="17">
        <f>IF((C21-$B$31)&gt;0,(C21-$B$31),"0%")</f>
        <v>0.12000000000000001</v>
      </c>
      <c r="E21" s="17">
        <f t="shared" ref="E21:L21" si="31">IF((D21-$B$31)&gt;0,(D21-$B$31),"0%")</f>
        <v>0.11000000000000001</v>
      </c>
      <c r="F21" s="17">
        <f t="shared" si="31"/>
        <v>0.10000000000000002</v>
      </c>
      <c r="G21" s="17">
        <f t="shared" si="31"/>
        <v>9.0000000000000024E-2</v>
      </c>
      <c r="H21" s="17">
        <f t="shared" si="31"/>
        <v>8.0000000000000029E-2</v>
      </c>
      <c r="I21" s="17">
        <f t="shared" si="31"/>
        <v>7.0000000000000034E-2</v>
      </c>
      <c r="J21" s="17">
        <f t="shared" si="31"/>
        <v>6.0000000000000032E-2</v>
      </c>
      <c r="K21" s="17">
        <f t="shared" si="31"/>
        <v>5.0000000000000031E-2</v>
      </c>
      <c r="L21" s="17">
        <f t="shared" si="31"/>
        <v>4.0000000000000029E-2</v>
      </c>
      <c r="N21" s="10" t="str">
        <f>IF(Inputs!$J$5&gt;1,"Female","Female")</f>
        <v>Female</v>
      </c>
      <c r="O21" s="10" t="str">
        <f>IF(Inputs!$J$5&gt;1,"Pre-Pri Year 1","Pre-Pri Year")</f>
        <v>Pre-Pri Year 1</v>
      </c>
      <c r="P21" s="58">
        <f>Inputs!J34</f>
        <v>0.13</v>
      </c>
      <c r="Q21" s="17">
        <f>IF((P21-$B$31)&gt;0,(P21-$B$31),"0%")</f>
        <v>0.12000000000000001</v>
      </c>
      <c r="R21" s="17">
        <f t="shared" ref="R21:Y21" si="32">IF((Q21-$B$31)&gt;0,(Q21-$B$31),"0%")</f>
        <v>0.11000000000000001</v>
      </c>
      <c r="S21" s="17">
        <f t="shared" si="32"/>
        <v>0.10000000000000002</v>
      </c>
      <c r="T21" s="17">
        <f t="shared" si="32"/>
        <v>9.0000000000000024E-2</v>
      </c>
      <c r="U21" s="17">
        <f t="shared" si="32"/>
        <v>8.0000000000000029E-2</v>
      </c>
      <c r="V21" s="17">
        <f t="shared" si="32"/>
        <v>7.0000000000000034E-2</v>
      </c>
      <c r="W21" s="17">
        <f t="shared" si="32"/>
        <v>6.0000000000000032E-2</v>
      </c>
      <c r="X21" s="17">
        <f t="shared" si="32"/>
        <v>5.0000000000000031E-2</v>
      </c>
      <c r="Y21" s="17">
        <f t="shared" si="32"/>
        <v>4.0000000000000029E-2</v>
      </c>
      <c r="AA21" s="10" t="str">
        <f>IF(Inputs!$J$5&gt;1,"Female","Female")</f>
        <v>Female</v>
      </c>
      <c r="AB21" s="10" t="str">
        <f>IF(Inputs!$J$5&gt;1,"Pre-Pri Year 1","Pre-Pri Year")</f>
        <v>Pre-Pri Year 1</v>
      </c>
      <c r="AC21" s="58">
        <f>Inputs!K34</f>
        <v>0.13</v>
      </c>
      <c r="AD21" s="17">
        <f>IF((AC21-$B$31)&gt;0,(AC21-$B$31),"0%")</f>
        <v>0.12000000000000001</v>
      </c>
      <c r="AE21" s="17">
        <f t="shared" ref="AE21:AL21" si="33">IF((AD21-$B$31)&gt;0,(AD21-$B$31),"0%")</f>
        <v>0.11000000000000001</v>
      </c>
      <c r="AF21" s="17">
        <f t="shared" si="33"/>
        <v>0.10000000000000002</v>
      </c>
      <c r="AG21" s="17">
        <f t="shared" si="33"/>
        <v>9.0000000000000024E-2</v>
      </c>
      <c r="AH21" s="17">
        <f t="shared" si="33"/>
        <v>8.0000000000000029E-2</v>
      </c>
      <c r="AI21" s="17">
        <f t="shared" si="33"/>
        <v>7.0000000000000034E-2</v>
      </c>
      <c r="AJ21" s="17">
        <f t="shared" si="33"/>
        <v>6.0000000000000032E-2</v>
      </c>
      <c r="AK21" s="17">
        <f t="shared" si="33"/>
        <v>5.0000000000000031E-2</v>
      </c>
      <c r="AL21" s="17">
        <f t="shared" si="33"/>
        <v>4.0000000000000029E-2</v>
      </c>
    </row>
    <row r="22" spans="1:38" x14ac:dyDescent="0.3">
      <c r="A22" s="10" t="str">
        <f>IF(Inputs!$J$5&gt;1,"Female","")</f>
        <v>Female</v>
      </c>
      <c r="B22" s="10" t="str">
        <f>IF(Inputs!$J$5&gt;1,"Pre-Pri Year 2","")</f>
        <v>Pre-Pri Year 2</v>
      </c>
      <c r="C22" s="58">
        <f>Inputs!I35</f>
        <v>0.04</v>
      </c>
      <c r="D22" s="17">
        <f t="shared" ref="D22:L23" si="34">IF((C22-$B$31)&gt;0,(C22-$B$31),"0%")</f>
        <v>0.03</v>
      </c>
      <c r="E22" s="17">
        <f t="shared" si="34"/>
        <v>1.9999999999999997E-2</v>
      </c>
      <c r="F22" s="17">
        <f t="shared" si="34"/>
        <v>9.9999999999999967E-3</v>
      </c>
      <c r="G22" s="17" t="str">
        <f t="shared" si="34"/>
        <v>0%</v>
      </c>
      <c r="H22" s="17" t="str">
        <f t="shared" si="34"/>
        <v>0%</v>
      </c>
      <c r="I22" s="17" t="str">
        <f t="shared" si="34"/>
        <v>0%</v>
      </c>
      <c r="J22" s="17" t="str">
        <f t="shared" si="34"/>
        <v>0%</v>
      </c>
      <c r="K22" s="17" t="str">
        <f t="shared" si="34"/>
        <v>0%</v>
      </c>
      <c r="L22" s="17" t="str">
        <f t="shared" si="34"/>
        <v>0%</v>
      </c>
      <c r="N22" s="10" t="str">
        <f>IF(Inputs!$J$5&gt;1,"Female","")</f>
        <v>Female</v>
      </c>
      <c r="O22" s="10" t="str">
        <f>IF(Inputs!$J$5&gt;1,"Pre-Pri Year 2","")</f>
        <v>Pre-Pri Year 2</v>
      </c>
      <c r="P22" s="58">
        <f>Inputs!J35</f>
        <v>0.04</v>
      </c>
      <c r="Q22" s="17">
        <f t="shared" ref="Q22:Y22" si="35">IF((P22-$B$31)&gt;0,(P22-$B$31),"0%")</f>
        <v>0.03</v>
      </c>
      <c r="R22" s="17">
        <f t="shared" si="35"/>
        <v>1.9999999999999997E-2</v>
      </c>
      <c r="S22" s="17">
        <f t="shared" si="35"/>
        <v>9.9999999999999967E-3</v>
      </c>
      <c r="T22" s="17" t="str">
        <f t="shared" si="35"/>
        <v>0%</v>
      </c>
      <c r="U22" s="17" t="str">
        <f t="shared" si="35"/>
        <v>0%</v>
      </c>
      <c r="V22" s="17" t="str">
        <f t="shared" si="35"/>
        <v>0%</v>
      </c>
      <c r="W22" s="17" t="str">
        <f t="shared" si="35"/>
        <v>0%</v>
      </c>
      <c r="X22" s="17" t="str">
        <f t="shared" si="35"/>
        <v>0%</v>
      </c>
      <c r="Y22" s="17" t="str">
        <f t="shared" si="35"/>
        <v>0%</v>
      </c>
      <c r="AA22" s="10" t="str">
        <f>IF(Inputs!$J$5&gt;1,"Female","")</f>
        <v>Female</v>
      </c>
      <c r="AB22" s="10" t="str">
        <f>IF(Inputs!$J$5&gt;1,"Pre-Pri Year 2","")</f>
        <v>Pre-Pri Year 2</v>
      </c>
      <c r="AC22" s="58">
        <f>Inputs!K35</f>
        <v>0.04</v>
      </c>
      <c r="AD22" s="17">
        <f t="shared" ref="AD22:AL22" si="36">IF((AC22-$B$31)&gt;0,(AC22-$B$31),"0%")</f>
        <v>0.03</v>
      </c>
      <c r="AE22" s="17">
        <f t="shared" si="36"/>
        <v>1.9999999999999997E-2</v>
      </c>
      <c r="AF22" s="17">
        <f t="shared" si="36"/>
        <v>9.9999999999999967E-3</v>
      </c>
      <c r="AG22" s="17" t="str">
        <f t="shared" si="36"/>
        <v>0%</v>
      </c>
      <c r="AH22" s="17" t="str">
        <f t="shared" si="36"/>
        <v>0%</v>
      </c>
      <c r="AI22" s="17" t="str">
        <f t="shared" si="36"/>
        <v>0%</v>
      </c>
      <c r="AJ22" s="17" t="str">
        <f t="shared" si="36"/>
        <v>0%</v>
      </c>
      <c r="AK22" s="17" t="str">
        <f t="shared" si="36"/>
        <v>0%</v>
      </c>
      <c r="AL22" s="17" t="str">
        <f t="shared" si="36"/>
        <v>0%</v>
      </c>
    </row>
    <row r="23" spans="1:38" x14ac:dyDescent="0.3">
      <c r="A23" s="10" t="str">
        <f>IF(Inputs!$J$5=3,"Female","")</f>
        <v>Female</v>
      </c>
      <c r="B23" s="10" t="str">
        <f>IF(Inputs!$J$5=3,"Pre-Pri Year 3","")</f>
        <v>Pre-Pri Year 3</v>
      </c>
      <c r="C23" s="58">
        <f>Inputs!I36</f>
        <v>0.05</v>
      </c>
      <c r="D23" s="17">
        <f t="shared" si="34"/>
        <v>0.04</v>
      </c>
      <c r="E23" s="17">
        <f t="shared" si="34"/>
        <v>0.03</v>
      </c>
      <c r="F23" s="17">
        <f t="shared" si="34"/>
        <v>1.9999999999999997E-2</v>
      </c>
      <c r="G23" s="17">
        <f t="shared" si="34"/>
        <v>9.9999999999999967E-3</v>
      </c>
      <c r="H23" s="17" t="str">
        <f t="shared" si="34"/>
        <v>0%</v>
      </c>
      <c r="I23" s="17" t="str">
        <f t="shared" si="34"/>
        <v>0%</v>
      </c>
      <c r="J23" s="17" t="str">
        <f t="shared" si="34"/>
        <v>0%</v>
      </c>
      <c r="K23" s="17" t="str">
        <f t="shared" si="34"/>
        <v>0%</v>
      </c>
      <c r="L23" s="17" t="str">
        <f t="shared" si="34"/>
        <v>0%</v>
      </c>
      <c r="N23" s="10" t="str">
        <f>IF(Inputs!$J$5=3,"Female","")</f>
        <v>Female</v>
      </c>
      <c r="O23" s="10" t="str">
        <f>IF(Inputs!$J$5=3,"Pre-Pri Year 3","")</f>
        <v>Pre-Pri Year 3</v>
      </c>
      <c r="P23" s="58">
        <f>Inputs!J36</f>
        <v>0.05</v>
      </c>
      <c r="Q23" s="17">
        <f t="shared" ref="Q23:Y23" si="37">IF((P23-$B$31)&gt;0,(P23-$B$31),"0%")</f>
        <v>0.04</v>
      </c>
      <c r="R23" s="17">
        <f t="shared" si="37"/>
        <v>0.03</v>
      </c>
      <c r="S23" s="17">
        <f t="shared" si="37"/>
        <v>1.9999999999999997E-2</v>
      </c>
      <c r="T23" s="17">
        <f t="shared" si="37"/>
        <v>9.9999999999999967E-3</v>
      </c>
      <c r="U23" s="17" t="str">
        <f t="shared" si="37"/>
        <v>0%</v>
      </c>
      <c r="V23" s="17" t="str">
        <f t="shared" si="37"/>
        <v>0%</v>
      </c>
      <c r="W23" s="17" t="str">
        <f t="shared" si="37"/>
        <v>0%</v>
      </c>
      <c r="X23" s="17" t="str">
        <f t="shared" si="37"/>
        <v>0%</v>
      </c>
      <c r="Y23" s="17" t="str">
        <f t="shared" si="37"/>
        <v>0%</v>
      </c>
      <c r="AA23" s="10" t="str">
        <f>IF(Inputs!$J$5=3,"Female","")</f>
        <v>Female</v>
      </c>
      <c r="AB23" s="10" t="str">
        <f>IF(Inputs!$J$5=3,"Pre-Pri Year 3","")</f>
        <v>Pre-Pri Year 3</v>
      </c>
      <c r="AC23" s="58">
        <f>Inputs!K36</f>
        <v>0.05</v>
      </c>
      <c r="AD23" s="17">
        <f t="shared" ref="AD23:AL23" si="38">IF((AC23-$B$31)&gt;0,(AC23-$B$31),"0%")</f>
        <v>0.04</v>
      </c>
      <c r="AE23" s="17">
        <f t="shared" si="38"/>
        <v>0.03</v>
      </c>
      <c r="AF23" s="17">
        <f t="shared" si="38"/>
        <v>1.9999999999999997E-2</v>
      </c>
      <c r="AG23" s="17">
        <f t="shared" si="38"/>
        <v>9.9999999999999967E-3</v>
      </c>
      <c r="AH23" s="17" t="str">
        <f t="shared" si="38"/>
        <v>0%</v>
      </c>
      <c r="AI23" s="17" t="str">
        <f t="shared" si="38"/>
        <v>0%</v>
      </c>
      <c r="AJ23" s="17" t="str">
        <f t="shared" si="38"/>
        <v>0%</v>
      </c>
      <c r="AK23" s="17" t="str">
        <f t="shared" si="38"/>
        <v>0%</v>
      </c>
      <c r="AL23" s="17" t="str">
        <f t="shared" si="38"/>
        <v>0%</v>
      </c>
    </row>
    <row r="25" spans="1:38" x14ac:dyDescent="0.3">
      <c r="A25" s="3" t="s">
        <v>44</v>
      </c>
      <c r="N25" s="3" t="s">
        <v>45</v>
      </c>
      <c r="AA25" s="3" t="s">
        <v>47</v>
      </c>
    </row>
    <row r="26" spans="1:38" x14ac:dyDescent="0.3">
      <c r="A26" s="15" t="s">
        <v>13</v>
      </c>
      <c r="B26" s="88">
        <v>0.02</v>
      </c>
      <c r="N26" s="15" t="s">
        <v>13</v>
      </c>
      <c r="O26" s="88">
        <v>5.0000000000000001E-3</v>
      </c>
      <c r="AA26" s="15" t="s">
        <v>13</v>
      </c>
      <c r="AB26" s="88">
        <v>5.0000000000000001E-3</v>
      </c>
    </row>
    <row r="27" spans="1:38" x14ac:dyDescent="0.3">
      <c r="A27" s="15" t="s">
        <v>14</v>
      </c>
      <c r="B27" s="88">
        <v>0.02</v>
      </c>
      <c r="N27" s="15" t="s">
        <v>14</v>
      </c>
      <c r="O27" s="88">
        <v>5.0000000000000001E-3</v>
      </c>
      <c r="AA27" s="15" t="s">
        <v>14</v>
      </c>
      <c r="AB27" s="88">
        <v>5.0000000000000001E-3</v>
      </c>
    </row>
    <row r="29" spans="1:38" x14ac:dyDescent="0.3">
      <c r="A29" s="3" t="s">
        <v>43</v>
      </c>
      <c r="N29" s="3" t="s">
        <v>46</v>
      </c>
      <c r="AA29" s="3" t="s">
        <v>48</v>
      </c>
    </row>
    <row r="30" spans="1:38" x14ac:dyDescent="0.3">
      <c r="A30" s="15" t="s">
        <v>13</v>
      </c>
      <c r="B30" s="88">
        <v>0.01</v>
      </c>
      <c r="N30" s="15" t="s">
        <v>13</v>
      </c>
      <c r="O30" s="88">
        <v>0.01</v>
      </c>
      <c r="AA30" s="15" t="s">
        <v>13</v>
      </c>
      <c r="AB30" s="88">
        <v>0.01</v>
      </c>
    </row>
    <row r="31" spans="1:38" x14ac:dyDescent="0.3">
      <c r="A31" s="15" t="s">
        <v>14</v>
      </c>
      <c r="B31" s="88">
        <v>0.01</v>
      </c>
      <c r="N31" s="15" t="s">
        <v>14</v>
      </c>
      <c r="O31" s="88">
        <v>0.01</v>
      </c>
      <c r="AA31" s="15" t="s">
        <v>14</v>
      </c>
      <c r="AB31" s="88">
        <v>0.01</v>
      </c>
    </row>
  </sheetData>
  <sheetProtection algorithmName="SHA-512" hashValue="zkn284g6rMQuK0nrFI94MKOEFxV1jPUvlZVhF0gY7ooyXbK+o2s4fKHAMk9cUj+I/e9s0er6meF6z+ZGR0NawA==" saltValue="SNvzcwlWncRi5G9d4B9SXg==" spinCount="100000" sheet="1" objects="1" scenarios="1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BC7A-D5F4-4B56-95E9-F1C611CA5B55}">
  <dimension ref="A1:AY47"/>
  <sheetViews>
    <sheetView workbookViewId="0">
      <selection activeCell="F1" sqref="F1"/>
    </sheetView>
  </sheetViews>
  <sheetFormatPr defaultRowHeight="14.4" x14ac:dyDescent="0.3"/>
  <cols>
    <col min="1" max="1" width="17.33203125" customWidth="1"/>
    <col min="2" max="2" width="9.109375" customWidth="1"/>
    <col min="14" max="14" width="17.44140625" customWidth="1"/>
    <col min="27" max="27" width="18.109375" customWidth="1"/>
    <col min="40" max="40" width="17.6640625" customWidth="1"/>
  </cols>
  <sheetData>
    <row r="1" spans="1:51" x14ac:dyDescent="0.3">
      <c r="A1" s="48" t="s">
        <v>201</v>
      </c>
      <c r="B1" s="2"/>
    </row>
    <row r="3" spans="1:51" x14ac:dyDescent="0.3">
      <c r="A3" s="62" t="s">
        <v>246</v>
      </c>
    </row>
    <row r="5" spans="1:51" x14ac:dyDescent="0.3">
      <c r="A5" s="3" t="s">
        <v>31</v>
      </c>
      <c r="B5" s="3"/>
      <c r="N5" s="3" t="s">
        <v>32</v>
      </c>
      <c r="O5" s="3"/>
      <c r="AA5" s="3" t="s">
        <v>155</v>
      </c>
      <c r="AB5" s="3"/>
      <c r="AN5" s="3" t="s">
        <v>33</v>
      </c>
      <c r="AO5" s="3"/>
    </row>
    <row r="7" spans="1:51" x14ac:dyDescent="0.3">
      <c r="A7" s="10" t="s">
        <v>19</v>
      </c>
      <c r="B7" s="10" t="s">
        <v>27</v>
      </c>
      <c r="C7" s="10">
        <f>Inputs!$F$5</f>
        <v>2021</v>
      </c>
      <c r="D7" s="10">
        <f>C7+1</f>
        <v>2022</v>
      </c>
      <c r="E7" s="10">
        <f t="shared" ref="E7:L7" si="0">D7+1</f>
        <v>2023</v>
      </c>
      <c r="F7" s="10">
        <f t="shared" si="0"/>
        <v>2024</v>
      </c>
      <c r="G7" s="10">
        <f t="shared" si="0"/>
        <v>2025</v>
      </c>
      <c r="H7" s="10">
        <f t="shared" si="0"/>
        <v>2026</v>
      </c>
      <c r="I7" s="10">
        <f t="shared" si="0"/>
        <v>2027</v>
      </c>
      <c r="J7" s="10">
        <f t="shared" si="0"/>
        <v>2028</v>
      </c>
      <c r="K7" s="10">
        <f t="shared" si="0"/>
        <v>2029</v>
      </c>
      <c r="L7" s="10">
        <f t="shared" si="0"/>
        <v>2030</v>
      </c>
      <c r="N7" s="10" t="s">
        <v>19</v>
      </c>
      <c r="O7" s="10" t="s">
        <v>27</v>
      </c>
      <c r="P7" s="10">
        <f>Inputs!$F$5</f>
        <v>2021</v>
      </c>
      <c r="Q7" s="10">
        <f>P7+1</f>
        <v>2022</v>
      </c>
      <c r="R7" s="10">
        <f t="shared" ref="R7:Y7" si="1">Q7+1</f>
        <v>2023</v>
      </c>
      <c r="S7" s="10">
        <f t="shared" si="1"/>
        <v>2024</v>
      </c>
      <c r="T7" s="10">
        <f t="shared" si="1"/>
        <v>2025</v>
      </c>
      <c r="U7" s="10">
        <f t="shared" si="1"/>
        <v>2026</v>
      </c>
      <c r="V7" s="10">
        <f t="shared" si="1"/>
        <v>2027</v>
      </c>
      <c r="W7" s="10">
        <f t="shared" si="1"/>
        <v>2028</v>
      </c>
      <c r="X7" s="10">
        <f t="shared" si="1"/>
        <v>2029</v>
      </c>
      <c r="Y7" s="10">
        <f t="shared" si="1"/>
        <v>2030</v>
      </c>
      <c r="AA7" s="10" t="s">
        <v>19</v>
      </c>
      <c r="AB7" s="10" t="s">
        <v>27</v>
      </c>
      <c r="AC7" s="10">
        <f>Inputs!$F$5</f>
        <v>2021</v>
      </c>
      <c r="AD7" s="10">
        <f>AC7+1</f>
        <v>2022</v>
      </c>
      <c r="AE7" s="10">
        <f t="shared" ref="AE7:AL7" si="2">AD7+1</f>
        <v>2023</v>
      </c>
      <c r="AF7" s="10">
        <f t="shared" si="2"/>
        <v>2024</v>
      </c>
      <c r="AG7" s="10">
        <f t="shared" si="2"/>
        <v>2025</v>
      </c>
      <c r="AH7" s="10">
        <f t="shared" si="2"/>
        <v>2026</v>
      </c>
      <c r="AI7" s="10">
        <f t="shared" si="2"/>
        <v>2027</v>
      </c>
      <c r="AJ7" s="10">
        <f t="shared" si="2"/>
        <v>2028</v>
      </c>
      <c r="AK7" s="10">
        <f t="shared" si="2"/>
        <v>2029</v>
      </c>
      <c r="AL7" s="10">
        <f t="shared" si="2"/>
        <v>2030</v>
      </c>
      <c r="AN7" s="10" t="s">
        <v>19</v>
      </c>
      <c r="AO7" s="10" t="s">
        <v>27</v>
      </c>
      <c r="AP7" s="10">
        <f>Inputs!$F$5</f>
        <v>2021</v>
      </c>
      <c r="AQ7" s="10">
        <f>AP7+1</f>
        <v>2022</v>
      </c>
      <c r="AR7" s="10">
        <f t="shared" ref="AR7:AY7" si="3">AQ7+1</f>
        <v>2023</v>
      </c>
      <c r="AS7" s="10">
        <f t="shared" si="3"/>
        <v>2024</v>
      </c>
      <c r="AT7" s="10">
        <f t="shared" si="3"/>
        <v>2025</v>
      </c>
      <c r="AU7" s="10">
        <f t="shared" si="3"/>
        <v>2026</v>
      </c>
      <c r="AV7" s="10">
        <f t="shared" si="3"/>
        <v>2027</v>
      </c>
      <c r="AW7" s="10">
        <f t="shared" si="3"/>
        <v>2028</v>
      </c>
      <c r="AX7" s="10">
        <f t="shared" si="3"/>
        <v>2029</v>
      </c>
      <c r="AY7" s="10">
        <f t="shared" si="3"/>
        <v>2030</v>
      </c>
    </row>
    <row r="8" spans="1:51" x14ac:dyDescent="0.3">
      <c r="A8" s="10" t="s">
        <v>13</v>
      </c>
      <c r="B8" s="18" t="s">
        <v>49</v>
      </c>
      <c r="C8" s="59">
        <f>SUM(C22:C24)/SUM(Population!B11:B13)</f>
        <v>0.35679345298986331</v>
      </c>
      <c r="D8" s="14">
        <f>SUM(D22:D24)/SUM(Population!C11:C13)</f>
        <v>0.35151061120470289</v>
      </c>
      <c r="E8" s="14">
        <f>SUM(E22:E24)/SUM(Population!D11:D13)</f>
        <v>0.29595469368033051</v>
      </c>
      <c r="F8" s="14">
        <f>SUM(F22:F24)/SUM(Population!E11:E13)</f>
        <v>0.33520431251744631</v>
      </c>
      <c r="G8" s="14">
        <f>SUM(G22:G24)/SUM(Population!F11:F13)</f>
        <v>0.38078554615608018</v>
      </c>
      <c r="H8" s="14">
        <f>SUM(H22:H24)/SUM(Population!G11:G13)</f>
        <v>0.4646279536737048</v>
      </c>
      <c r="I8" s="14">
        <f>SUM(I22:I24)/SUM(Population!H11:H13)</f>
        <v>0.5629993340130387</v>
      </c>
      <c r="J8" s="14">
        <f>SUM(J22:J24)/SUM(Population!I11:I13)</f>
        <v>0.69302091906364971</v>
      </c>
      <c r="K8" s="14">
        <f>SUM(K22:K24)/SUM(Population!J11:J13)</f>
        <v>0.71809514770824312</v>
      </c>
      <c r="L8" s="14">
        <f>SUM(L22:L24)/SUM(Population!K11:K13)</f>
        <v>0.73887785528253969</v>
      </c>
      <c r="N8" s="10" t="s">
        <v>13</v>
      </c>
      <c r="O8" s="18" t="s">
        <v>49</v>
      </c>
      <c r="P8" s="59">
        <f>SUM(P22:P24)/SUM(Population!B11:B13)</f>
        <v>0.1492593429076271</v>
      </c>
      <c r="Q8" s="14">
        <f>SUM(Q22:Q24)/SUM(Population!C11:C13)</f>
        <v>0.13287165010903199</v>
      </c>
      <c r="R8" s="14">
        <f>SUM(R22:R24)/SUM(Population!D11:D13)</f>
        <v>0.13148500041145009</v>
      </c>
      <c r="S8" s="14">
        <f>SUM(S22:S24)/SUM(Population!E11:E13)</f>
        <v>0.14825179185171175</v>
      </c>
      <c r="T8" s="14">
        <f>SUM(T22:T24)/SUM(Population!F11:F13)</f>
        <v>0.16791048682463289</v>
      </c>
      <c r="U8" s="14">
        <f>SUM(U22:U24)/SUM(Population!G11:G13)</f>
        <v>0.20422205814655833</v>
      </c>
      <c r="V8" s="14">
        <f>SUM(V22:V24)/SUM(Population!H11:H13)</f>
        <v>0.24661060753998679</v>
      </c>
      <c r="W8" s="14">
        <f>SUM(W22:W24)/SUM(Population!I11:I13)</f>
        <v>0.30246060494552879</v>
      </c>
      <c r="X8" s="14">
        <f>SUM(X22:X24)/SUM(Population!J11:J13)</f>
        <v>0.31108796610443629</v>
      </c>
      <c r="Y8" s="14">
        <f>SUM(Y22:Y24)/SUM(Population!K11:K13)</f>
        <v>0.31874854342187797</v>
      </c>
      <c r="AA8" s="10" t="s">
        <v>13</v>
      </c>
      <c r="AB8" s="18" t="s">
        <v>49</v>
      </c>
      <c r="AC8" s="59">
        <f>SUM(AC22:AC24)/SUM(Population!B11:B13)</f>
        <v>0.13915585019463006</v>
      </c>
      <c r="AD8" s="14">
        <f>SUM(AD22:AD24)/SUM(Population!C11:C13)</f>
        <v>0.16322302831862714</v>
      </c>
      <c r="AE8" s="14">
        <f>SUM(AE22:AE24)/SUM(Population!D11:D13)</f>
        <v>0.1290296985918214</v>
      </c>
      <c r="AF8" s="14">
        <f>SUM(AF22:AF24)/SUM(Population!E11:E13)</f>
        <v>0.14790262318882624</v>
      </c>
      <c r="AG8" s="14">
        <f>SUM(AG22:AG24)/SUM(Population!F11:F13)</f>
        <v>0.16974169635652103</v>
      </c>
      <c r="AH8" s="14">
        <f>SUM(AH22:AH24)/SUM(Population!G11:G13)</f>
        <v>0.20922995541824332</v>
      </c>
      <c r="AI8" s="14">
        <f>SUM(AI22:AI24)/SUM(Population!H11:H13)</f>
        <v>0.25609618952302471</v>
      </c>
      <c r="AJ8" s="14">
        <f>SUM(AJ22:AJ24)/SUM(Population!I11:I13)</f>
        <v>0.31840638736082755</v>
      </c>
      <c r="AK8" s="14">
        <f>SUM(AK22:AK24)/SUM(Population!J11:J13)</f>
        <v>0.33412736420111228</v>
      </c>
      <c r="AL8" s="14">
        <f>SUM(AL22:AL24)/SUM(Population!K11:K13)</f>
        <v>0.34724039344118879</v>
      </c>
      <c r="AN8" s="10" t="s">
        <v>13</v>
      </c>
      <c r="AO8" s="18" t="s">
        <v>49</v>
      </c>
      <c r="AP8" s="59">
        <f>SUM(AP22:AP24)/SUM(Population!B11:B13)</f>
        <v>6.837825988760611E-2</v>
      </c>
      <c r="AQ8" s="14">
        <f>SUM(AQ22:AQ24)/SUM(Population!C11:C13)</f>
        <v>5.5415932777043736E-2</v>
      </c>
      <c r="AR8" s="14">
        <f>SUM(AR22:AR24)/SUM(Population!D11:D13)</f>
        <v>3.5439994677058981E-2</v>
      </c>
      <c r="AS8" s="14">
        <f>SUM(AS22:AS24)/SUM(Population!E11:E13)</f>
        <v>3.9049897476908325E-2</v>
      </c>
      <c r="AT8" s="14">
        <f>SUM(AT22:AT24)/SUM(Population!F11:F13)</f>
        <v>4.3133362974926183E-2</v>
      </c>
      <c r="AU8" s="14">
        <f>SUM(AU22:AU24)/SUM(Population!G11:G13)</f>
        <v>5.1175940108903202E-2</v>
      </c>
      <c r="AV8" s="14">
        <f>SUM(AV22:AV24)/SUM(Population!H11:H13)</f>
        <v>6.0292536950027266E-2</v>
      </c>
      <c r="AW8" s="14">
        <f>SUM(AW22:AW24)/SUM(Population!I11:I13)</f>
        <v>7.2153926757293402E-2</v>
      </c>
      <c r="AX8" s="14">
        <f>SUM(AX22:AX24)/SUM(Population!J11:J13)</f>
        <v>7.2879817402694586E-2</v>
      </c>
      <c r="AY8" s="14">
        <f>SUM(AY22:AY24)/SUM(Population!K11:K13)</f>
        <v>7.2888918419472912E-2</v>
      </c>
    </row>
    <row r="9" spans="1:51" x14ac:dyDescent="0.3">
      <c r="A9" s="10" t="s">
        <v>14</v>
      </c>
      <c r="B9" s="18" t="s">
        <v>49</v>
      </c>
      <c r="C9" s="59">
        <f>SUM(C27:C29)/SUM(Population!B19:B21)</f>
        <v>0.52346835992047169</v>
      </c>
      <c r="D9" s="14">
        <f>SUM(D27:D29)/SUM(Population!C19:C21)</f>
        <v>0.45586422754687678</v>
      </c>
      <c r="E9" s="14">
        <f>SUM(E27:E29)/SUM(Population!D19:D21)</f>
        <v>0.35169815957878026</v>
      </c>
      <c r="F9" s="14">
        <f>SUM(F27:F29)/SUM(Population!E19:E21)</f>
        <v>0.41543269895819507</v>
      </c>
      <c r="G9" s="14">
        <f>SUM(G27:G29)/SUM(Population!F19:F21)</f>
        <v>0.51943997168121658</v>
      </c>
      <c r="H9" s="14">
        <f>SUM(H27:H29)/SUM(Population!G19:G21)</f>
        <v>0.5712398660729211</v>
      </c>
      <c r="I9" s="14">
        <f>SUM(I27:I29)/SUM(Population!H19:H21)</f>
        <v>0.5991425028726286</v>
      </c>
      <c r="J9" s="14">
        <f>SUM(J27:J29)/SUM(Population!I19:I21)</f>
        <v>0.62962024205512346</v>
      </c>
      <c r="K9" s="14">
        <f>SUM(K27:K29)/SUM(Population!J19:J21)</f>
        <v>0.66168854618784889</v>
      </c>
      <c r="L9" s="14">
        <f>SUM(L27:L29)/SUM(Population!K19:K21)</f>
        <v>0.69543101428689624</v>
      </c>
      <c r="N9" s="10" t="s">
        <v>14</v>
      </c>
      <c r="O9" s="18" t="s">
        <v>49</v>
      </c>
      <c r="P9" s="59">
        <f>SUM(P27:P29)/SUM(Population!B19:B21)</f>
        <v>0.18391233236523857</v>
      </c>
      <c r="Q9" s="14">
        <f>SUM(Q27:Q29)/SUM(Population!C19:C21)</f>
        <v>0.14139304353611606</v>
      </c>
      <c r="R9" s="14">
        <f>SUM(R27:R29)/SUM(Population!D19:D21)</f>
        <v>0.12363733979733685</v>
      </c>
      <c r="S9" s="14">
        <f>SUM(S27:S29)/SUM(Population!E19:E21)</f>
        <v>0.1455860578214776</v>
      </c>
      <c r="T9" s="14">
        <f>SUM(T27:T29)/SUM(Population!F19:F21)</f>
        <v>0.18358608697639919</v>
      </c>
      <c r="U9" s="14">
        <f>SUM(U27:U29)/SUM(Population!G19:G21)</f>
        <v>0.20367297597416109</v>
      </c>
      <c r="V9" s="14">
        <f>SUM(V27:V29)/SUM(Population!H19:H21)</f>
        <v>0.21528153047980816</v>
      </c>
      <c r="W9" s="14">
        <f>SUM(W27:W29)/SUM(Population!I19:I21)</f>
        <v>0.22872133142606177</v>
      </c>
      <c r="X9" s="14">
        <f>SUM(X27:X29)/SUM(Population!J19:J21)</f>
        <v>0.24297174829427548</v>
      </c>
      <c r="Y9" s="14">
        <f>SUM(Y27:Y29)/SUM(Population!K19:K21)</f>
        <v>0.25807970177281853</v>
      </c>
      <c r="AA9" s="10" t="s">
        <v>14</v>
      </c>
      <c r="AB9" s="18" t="s">
        <v>49</v>
      </c>
      <c r="AC9" s="59">
        <f>SUM(AC27:AC29)/SUM(Population!B19:B21)</f>
        <v>0.2450340386981186</v>
      </c>
      <c r="AD9" s="14">
        <f>SUM(AD27:AD29)/SUM(Population!C19:C21)</f>
        <v>0.21236724258349338</v>
      </c>
      <c r="AE9" s="14">
        <f>SUM(AE27:AE29)/SUM(Population!D19:D21)</f>
        <v>0.16192583074536843</v>
      </c>
      <c r="AF9" s="14">
        <f>SUM(AF27:AF29)/SUM(Population!E19:E21)</f>
        <v>0.1931963841295532</v>
      </c>
      <c r="AG9" s="14">
        <f>SUM(AG27:AG29)/SUM(Population!F19:F21)</f>
        <v>0.24240542850112576</v>
      </c>
      <c r="AH9" s="14">
        <f>SUM(AH27:AH29)/SUM(Population!G19:G21)</f>
        <v>0.26740278364364661</v>
      </c>
      <c r="AI9" s="14">
        <f>SUM(AI27:AI29)/SUM(Population!H19:H21)</f>
        <v>0.2814153296887682</v>
      </c>
      <c r="AJ9" s="14">
        <f>SUM(AJ27:AJ29)/SUM(Population!I19:I21)</f>
        <v>0.29613108924140097</v>
      </c>
      <c r="AK9" s="14">
        <f>SUM(AK27:AK29)/SUM(Population!J19:J21)</f>
        <v>0.31158520308780729</v>
      </c>
      <c r="AL9" s="14">
        <f>SUM(AL27:AL29)/SUM(Population!K19:K21)</f>
        <v>0.32781367803881306</v>
      </c>
      <c r="AN9" s="10" t="s">
        <v>14</v>
      </c>
      <c r="AO9" s="18" t="s">
        <v>49</v>
      </c>
      <c r="AP9" s="59">
        <f>SUM(AP27:AP29)/SUM(Population!B19:B21)</f>
        <v>9.4521988857114478E-2</v>
      </c>
      <c r="AQ9" s="14">
        <f>SUM(AQ27:AQ29)/SUM(Population!C19:C21)</f>
        <v>0.10210394142726739</v>
      </c>
      <c r="AR9" s="14">
        <f>SUM(AR27:AR29)/SUM(Population!D19:D21)</f>
        <v>6.6134989036075065E-2</v>
      </c>
      <c r="AS9" s="14">
        <f>SUM(AS27:AS29)/SUM(Population!E19:E21)</f>
        <v>7.6650257007164185E-2</v>
      </c>
      <c r="AT9" s="14">
        <f>SUM(AT27:AT29)/SUM(Population!F19:F21)</f>
        <v>9.3448456203691563E-2</v>
      </c>
      <c r="AU9" s="14">
        <f>SUM(AU27:AU29)/SUM(Population!G19:G21)</f>
        <v>0.10016410645511351</v>
      </c>
      <c r="AV9" s="14">
        <f>SUM(AV27:AV29)/SUM(Population!H19:H21)</f>
        <v>0.10244564270405222</v>
      </c>
      <c r="AW9" s="14">
        <f>SUM(AW27:AW29)/SUM(Population!I19:I21)</f>
        <v>0.10476782138766072</v>
      </c>
      <c r="AX9" s="14">
        <f>SUM(AX27:AX29)/SUM(Population!J19:J21)</f>
        <v>0.10713159480576619</v>
      </c>
      <c r="AY9" s="14">
        <f>SUM(AY27:AY29)/SUM(Population!K19:K21)</f>
        <v>0.10953763447526466</v>
      </c>
    </row>
    <row r="10" spans="1:51" x14ac:dyDescent="0.3">
      <c r="A10" s="10" t="s">
        <v>18</v>
      </c>
      <c r="B10" s="18" t="s">
        <v>49</v>
      </c>
      <c r="C10" s="59">
        <f>SUM(C32:C34)/SUM(Population!B27:B29)</f>
        <v>0.42278947676746764</v>
      </c>
      <c r="D10" s="14">
        <f>SUM(D32:D34)/SUM(Population!C27:C29)</f>
        <v>0.39353292577936261</v>
      </c>
      <c r="E10" s="14">
        <f>SUM(E32:E34)/SUM(Population!D27:D29)</f>
        <v>0.31848791334189724</v>
      </c>
      <c r="F10" s="14">
        <f>SUM(F32:F34)/SUM(Population!E27:E29)</f>
        <v>0.3666913226694784</v>
      </c>
      <c r="G10" s="14">
        <f>SUM(G32:G34)/SUM(Population!F27:F29)</f>
        <v>0.43199292782195575</v>
      </c>
      <c r="H10" s="14">
        <f>SUM(H32:H34)/SUM(Population!G27:G29)</f>
        <v>0.50656602599400313</v>
      </c>
      <c r="I10" s="14">
        <f>SUM(I32:I34)/SUM(Population!H27:H29)</f>
        <v>0.57849660073507791</v>
      </c>
      <c r="J10" s="14">
        <f>SUM(J32:J34)/SUM(Population!I27:I29)</f>
        <v>0.66329528837064533</v>
      </c>
      <c r="K10" s="14">
        <f>SUM(K32:K34)/SUM(Population!J27:J29)</f>
        <v>0.69175185017747076</v>
      </c>
      <c r="L10" s="14">
        <f>SUM(L32:L34)/SUM(Population!K27:K29)</f>
        <v>0.71866649252769366</v>
      </c>
      <c r="N10" s="10" t="s">
        <v>18</v>
      </c>
      <c r="O10" s="18" t="s">
        <v>49</v>
      </c>
      <c r="P10" s="59">
        <f>SUM(P32:P34)/SUM(Population!B27:B29)</f>
        <v>0.16298042161302412</v>
      </c>
      <c r="Q10" s="14">
        <f>SUM(Q32:Q34)/SUM(Population!C27:C29)</f>
        <v>0.13630314283309056</v>
      </c>
      <c r="R10" s="14">
        <f>SUM(R32:R34)/SUM(Population!D27:D29)</f>
        <v>0.12831273514955582</v>
      </c>
      <c r="S10" s="14">
        <f>SUM(S32:S34)/SUM(Population!E27:E29)</f>
        <v>0.1472055786820802</v>
      </c>
      <c r="T10" s="14">
        <f>SUM(T32:T34)/SUM(Population!F27:F29)</f>
        <v>0.17369974624980455</v>
      </c>
      <c r="U10" s="14">
        <f>SUM(U32:U34)/SUM(Population!G27:G29)</f>
        <v>0.20400606494901061</v>
      </c>
      <c r="V10" s="14">
        <f>SUM(V32:V34)/SUM(Population!H27:H29)</f>
        <v>0.23317750029797801</v>
      </c>
      <c r="W10" s="14">
        <f>SUM(W32:W34)/SUM(Population!I27:I29)</f>
        <v>0.26788768686903353</v>
      </c>
      <c r="X10" s="14">
        <f>SUM(X32:X34)/SUM(Population!J27:J29)</f>
        <v>0.27927598410096122</v>
      </c>
      <c r="Y10" s="14">
        <f>SUM(Y32:Y34)/SUM(Population!K27:K29)</f>
        <v>0.29052554864514829</v>
      </c>
      <c r="AA10" s="10" t="s">
        <v>18</v>
      </c>
      <c r="AB10" s="18" t="s">
        <v>49</v>
      </c>
      <c r="AC10" s="59">
        <f>SUM(AC32:AC34)/SUM(Population!B27:B29)</f>
        <v>0.18107901412304925</v>
      </c>
      <c r="AD10" s="14">
        <f>SUM(AD32:AD34)/SUM(Population!C27:C29)</f>
        <v>0.18301298580885039</v>
      </c>
      <c r="AE10" s="14">
        <f>SUM(AE32:AE34)/SUM(Population!D27:D29)</f>
        <v>0.1423273247778605</v>
      </c>
      <c r="AF10" s="14">
        <f>SUM(AF32:AF34)/SUM(Population!E27:E29)</f>
        <v>0.16567893870300715</v>
      </c>
      <c r="AG10" s="14">
        <f>SUM(AG32:AG34)/SUM(Population!F27:F29)</f>
        <v>0.1965776191992519</v>
      </c>
      <c r="AH10" s="14">
        <f>SUM(AH32:AH34)/SUM(Population!G27:G29)</f>
        <v>0.23211347961634393</v>
      </c>
      <c r="AI10" s="14">
        <f>SUM(AI32:AI34)/SUM(Population!H27:H29)</f>
        <v>0.26695238948284394</v>
      </c>
      <c r="AJ10" s="14">
        <f>SUM(AJ32:AJ34)/SUM(Population!I27:I29)</f>
        <v>0.30796253539083041</v>
      </c>
      <c r="AK10" s="14">
        <f>SUM(AK32:AK34)/SUM(Population!J27:J29)</f>
        <v>0.32359960962650464</v>
      </c>
      <c r="AL10" s="14">
        <f>SUM(AL32:AL34)/SUM(Population!K27:K29)</f>
        <v>0.33820313358213622</v>
      </c>
      <c r="AN10" s="10" t="s">
        <v>18</v>
      </c>
      <c r="AO10" s="18" t="s">
        <v>49</v>
      </c>
      <c r="AP10" s="59">
        <f>SUM(AP32:AP34)/SUM(Population!B27:B29)</f>
        <v>7.8730041031394277E-2</v>
      </c>
      <c r="AQ10" s="14">
        <f>SUM(AQ32:AQ34)/SUM(Population!C27:C29)</f>
        <v>7.4216797137421672E-2</v>
      </c>
      <c r="AR10" s="14">
        <f>SUM(AR32:AR34)/SUM(Population!D27:D29)</f>
        <v>4.7847853414480911E-2</v>
      </c>
      <c r="AS10" s="14">
        <f>SUM(AS32:AS34)/SUM(Population!E27:E29)</f>
        <v>5.380680528439101E-2</v>
      </c>
      <c r="AT10" s="14">
        <f>SUM(AT32:AT34)/SUM(Population!F27:F29)</f>
        <v>6.1715562372899366E-2</v>
      </c>
      <c r="AU10" s="14">
        <f>SUM(AU32:AU34)/SUM(Population!G27:G29)</f>
        <v>7.0446481428648539E-2</v>
      </c>
      <c r="AV10" s="14">
        <f>SUM(AV32:AV34)/SUM(Population!H27:H29)</f>
        <v>7.8366710954255875E-2</v>
      </c>
      <c r="AW10" s="14">
        <f>SUM(AW32:AW34)/SUM(Population!I27:I29)</f>
        <v>8.7445066110781441E-2</v>
      </c>
      <c r="AX10" s="14">
        <f>SUM(AX32:AX34)/SUM(Population!J27:J29)</f>
        <v>8.8876256450004881E-2</v>
      </c>
      <c r="AY10" s="14">
        <f>SUM(AY32:AY34)/SUM(Population!K27:K29)</f>
        <v>8.9937810300409274E-2</v>
      </c>
    </row>
    <row r="12" spans="1:51" x14ac:dyDescent="0.3">
      <c r="A12" s="13" t="s">
        <v>20</v>
      </c>
      <c r="N12" s="13" t="s">
        <v>20</v>
      </c>
      <c r="AA12" s="13" t="s">
        <v>20</v>
      </c>
      <c r="AN12" s="13" t="s">
        <v>20</v>
      </c>
    </row>
    <row r="13" spans="1:51" x14ac:dyDescent="0.3">
      <c r="A13" t="s">
        <v>165</v>
      </c>
      <c r="N13" t="s">
        <v>165</v>
      </c>
      <c r="AA13" t="s">
        <v>165</v>
      </c>
      <c r="AN13" t="s">
        <v>165</v>
      </c>
    </row>
    <row r="14" spans="1:51" x14ac:dyDescent="0.3">
      <c r="A14" t="s">
        <v>21</v>
      </c>
      <c r="N14" t="s">
        <v>21</v>
      </c>
      <c r="AA14" t="s">
        <v>21</v>
      </c>
      <c r="AN14" t="s">
        <v>21</v>
      </c>
    </row>
    <row r="15" spans="1:51" x14ac:dyDescent="0.3">
      <c r="AN15" t="s">
        <v>157</v>
      </c>
    </row>
    <row r="17" spans="1:51" x14ac:dyDescent="0.3">
      <c r="A17" s="3" t="s">
        <v>30</v>
      </c>
      <c r="B17" s="3"/>
      <c r="N17" s="3" t="s">
        <v>28</v>
      </c>
      <c r="O17" s="3"/>
      <c r="AA17" s="3" t="s">
        <v>156</v>
      </c>
      <c r="AB17" s="3"/>
      <c r="AN17" s="3" t="s">
        <v>29</v>
      </c>
      <c r="AO17" s="3"/>
    </row>
    <row r="18" spans="1:51" x14ac:dyDescent="0.3">
      <c r="A18" s="3"/>
      <c r="B18" s="3"/>
      <c r="N18" s="3"/>
      <c r="O18" s="3"/>
      <c r="AA18" s="3"/>
      <c r="AB18" s="3"/>
      <c r="AN18" s="3"/>
      <c r="AO18" s="3"/>
    </row>
    <row r="19" spans="1:51" x14ac:dyDescent="0.3">
      <c r="A19" s="13" t="s">
        <v>38</v>
      </c>
      <c r="B19" s="3"/>
      <c r="N19" s="13" t="s">
        <v>38</v>
      </c>
      <c r="O19" s="3"/>
      <c r="AA19" s="13" t="s">
        <v>38</v>
      </c>
      <c r="AB19" s="3"/>
      <c r="AN19" s="13" t="s">
        <v>38</v>
      </c>
      <c r="AO19" s="3"/>
    </row>
    <row r="21" spans="1:51" x14ac:dyDescent="0.3">
      <c r="A21" s="10" t="s">
        <v>22</v>
      </c>
      <c r="B21" s="10" t="s">
        <v>27</v>
      </c>
      <c r="C21" s="10">
        <f>Inputs!$F$5</f>
        <v>2021</v>
      </c>
      <c r="D21" s="10">
        <f>C21+1</f>
        <v>2022</v>
      </c>
      <c r="E21" s="10">
        <f t="shared" ref="E21:L21" si="4">D21+1</f>
        <v>2023</v>
      </c>
      <c r="F21" s="10">
        <f t="shared" si="4"/>
        <v>2024</v>
      </c>
      <c r="G21" s="10">
        <f t="shared" si="4"/>
        <v>2025</v>
      </c>
      <c r="H21" s="10">
        <f t="shared" si="4"/>
        <v>2026</v>
      </c>
      <c r="I21" s="10">
        <f t="shared" si="4"/>
        <v>2027</v>
      </c>
      <c r="J21" s="10">
        <f t="shared" si="4"/>
        <v>2028</v>
      </c>
      <c r="K21" s="10">
        <f t="shared" si="4"/>
        <v>2029</v>
      </c>
      <c r="L21" s="10">
        <f t="shared" si="4"/>
        <v>2030</v>
      </c>
      <c r="N21" s="10" t="s">
        <v>22</v>
      </c>
      <c r="O21" s="10" t="s">
        <v>27</v>
      </c>
      <c r="P21" s="10">
        <f>Inputs!$F$5</f>
        <v>2021</v>
      </c>
      <c r="Q21" s="10">
        <f>P21+1</f>
        <v>2022</v>
      </c>
      <c r="R21" s="10">
        <f t="shared" ref="R21:Y21" si="5">Q21+1</f>
        <v>2023</v>
      </c>
      <c r="S21" s="10">
        <f t="shared" si="5"/>
        <v>2024</v>
      </c>
      <c r="T21" s="10">
        <f t="shared" si="5"/>
        <v>2025</v>
      </c>
      <c r="U21" s="10">
        <f t="shared" si="5"/>
        <v>2026</v>
      </c>
      <c r="V21" s="10">
        <f t="shared" si="5"/>
        <v>2027</v>
      </c>
      <c r="W21" s="10">
        <f t="shared" si="5"/>
        <v>2028</v>
      </c>
      <c r="X21" s="10">
        <f t="shared" si="5"/>
        <v>2029</v>
      </c>
      <c r="Y21" s="10">
        <f t="shared" si="5"/>
        <v>2030</v>
      </c>
      <c r="AA21" s="10" t="s">
        <v>22</v>
      </c>
      <c r="AB21" s="10" t="s">
        <v>27</v>
      </c>
      <c r="AC21" s="10">
        <f>Inputs!$F$5</f>
        <v>2021</v>
      </c>
      <c r="AD21" s="10">
        <f>AC21+1</f>
        <v>2022</v>
      </c>
      <c r="AE21" s="10">
        <f t="shared" ref="AE21:AL21" si="6">AD21+1</f>
        <v>2023</v>
      </c>
      <c r="AF21" s="10">
        <f t="shared" si="6"/>
        <v>2024</v>
      </c>
      <c r="AG21" s="10">
        <f t="shared" si="6"/>
        <v>2025</v>
      </c>
      <c r="AH21" s="10">
        <f t="shared" si="6"/>
        <v>2026</v>
      </c>
      <c r="AI21" s="10">
        <f t="shared" si="6"/>
        <v>2027</v>
      </c>
      <c r="AJ21" s="10">
        <f t="shared" si="6"/>
        <v>2028</v>
      </c>
      <c r="AK21" s="10">
        <f t="shared" si="6"/>
        <v>2029</v>
      </c>
      <c r="AL21" s="10">
        <f t="shared" si="6"/>
        <v>2030</v>
      </c>
      <c r="AN21" s="10" t="s">
        <v>22</v>
      </c>
      <c r="AO21" s="10" t="s">
        <v>27</v>
      </c>
      <c r="AP21" s="10">
        <f>Inputs!$F$5</f>
        <v>2021</v>
      </c>
      <c r="AQ21" s="10">
        <f>AP21+1</f>
        <v>2022</v>
      </c>
      <c r="AR21" s="10">
        <f t="shared" ref="AR21:AY21" si="7">AQ21+1</f>
        <v>2023</v>
      </c>
      <c r="AS21" s="10">
        <f t="shared" si="7"/>
        <v>2024</v>
      </c>
      <c r="AT21" s="10">
        <f t="shared" si="7"/>
        <v>2025</v>
      </c>
      <c r="AU21" s="10">
        <f t="shared" si="7"/>
        <v>2026</v>
      </c>
      <c r="AV21" s="10">
        <f t="shared" si="7"/>
        <v>2027</v>
      </c>
      <c r="AW21" s="10">
        <f t="shared" si="7"/>
        <v>2028</v>
      </c>
      <c r="AX21" s="10">
        <f t="shared" si="7"/>
        <v>2029</v>
      </c>
      <c r="AY21" s="10">
        <f t="shared" si="7"/>
        <v>2030</v>
      </c>
    </row>
    <row r="22" spans="1:51" x14ac:dyDescent="0.3">
      <c r="A22" s="10" t="str">
        <f>IF(Inputs!$J$5&gt;1,"Pre-Pri Year 1","Pre-Pri Year")</f>
        <v>Pre-Pri Year 1</v>
      </c>
      <c r="B22" s="16" t="str">
        <f>IF(Inputs!$J$5&gt;1,"3","3-5")</f>
        <v>3</v>
      </c>
      <c r="C22" s="57">
        <f>P22+AC22+AP22</f>
        <v>168021</v>
      </c>
      <c r="D22" s="7">
        <f>Q22+AD22+AQ22</f>
        <v>180573.64</v>
      </c>
      <c r="E22" s="7">
        <f t="shared" ref="E22:L22" si="8">R22+AE22+AR22</f>
        <v>190904.69040000002</v>
      </c>
      <c r="F22" s="7">
        <f t="shared" si="8"/>
        <v>201863.65699600003</v>
      </c>
      <c r="G22" s="7">
        <f t="shared" si="8"/>
        <v>213490.33699176004</v>
      </c>
      <c r="H22" s="7">
        <f t="shared" si="8"/>
        <v>225827.12372690442</v>
      </c>
      <c r="I22" s="7">
        <f t="shared" si="8"/>
        <v>238919.17946835561</v>
      </c>
      <c r="J22" s="7">
        <f t="shared" si="8"/>
        <v>252814.61986662413</v>
      </c>
      <c r="K22" s="7">
        <f t="shared" si="8"/>
        <v>267564.71087245963</v>
      </c>
      <c r="L22" s="7">
        <f t="shared" si="8"/>
        <v>283224.07896401366</v>
      </c>
      <c r="N22" s="10" t="str">
        <f>IF(Inputs!$J$5&gt;1,"Pre-Pri Year 1","Pre-Pri Year")</f>
        <v>Pre-Pri Year 1</v>
      </c>
      <c r="O22" s="16" t="str">
        <f>IF(Inputs!$J$5&gt;1,"3","3-5")</f>
        <v>3</v>
      </c>
      <c r="P22" s="57">
        <f>Inputs!D43</f>
        <v>59055</v>
      </c>
      <c r="Q22" s="7">
        <f>P22*(1+Q39)</f>
        <v>64960.500000000007</v>
      </c>
      <c r="R22" s="7">
        <f t="shared" ref="R22:Y22" si="9">Q22*(1+R39)</f>
        <v>68208.525000000009</v>
      </c>
      <c r="S22" s="7">
        <f t="shared" si="9"/>
        <v>71618.951250000013</v>
      </c>
      <c r="T22" s="7">
        <f t="shared" si="9"/>
        <v>75199.898812500018</v>
      </c>
      <c r="U22" s="7">
        <f t="shared" si="9"/>
        <v>78959.893753125027</v>
      </c>
      <c r="V22" s="7">
        <f t="shared" si="9"/>
        <v>82907.888440781287</v>
      </c>
      <c r="W22" s="7">
        <f t="shared" si="9"/>
        <v>87053.282862820357</v>
      </c>
      <c r="X22" s="7">
        <f t="shared" si="9"/>
        <v>91405.947005961381</v>
      </c>
      <c r="Y22" s="7">
        <f t="shared" si="9"/>
        <v>95976.244356259456</v>
      </c>
      <c r="AA22" s="10" t="str">
        <f>IF(Inputs!$J$5&gt;1,"Pre-Pri Year 1","Pre-Pri Year")</f>
        <v>Pre-Pri Year 1</v>
      </c>
      <c r="AB22" s="16" t="str">
        <f>IF(Inputs!$J$5&gt;1,"3","3-5")</f>
        <v>3</v>
      </c>
      <c r="AC22" s="57">
        <f>Inputs!E43</f>
        <v>84454</v>
      </c>
      <c r="AD22" s="7">
        <f>AC22*(1+AD39)</f>
        <v>90365.78</v>
      </c>
      <c r="AE22" s="7">
        <f t="shared" ref="AE22:AL22" si="10">AD22*(1+AE39)</f>
        <v>96691.384600000005</v>
      </c>
      <c r="AF22" s="7">
        <f t="shared" si="10"/>
        <v>103459.781522</v>
      </c>
      <c r="AG22" s="7">
        <f t="shared" si="10"/>
        <v>110701.96622854001</v>
      </c>
      <c r="AH22" s="7">
        <f t="shared" si="10"/>
        <v>118451.10386453781</v>
      </c>
      <c r="AI22" s="7">
        <f t="shared" si="10"/>
        <v>126742.68113505546</v>
      </c>
      <c r="AJ22" s="7">
        <f t="shared" si="10"/>
        <v>135614.66881450935</v>
      </c>
      <c r="AK22" s="7">
        <f t="shared" si="10"/>
        <v>145107.69563152501</v>
      </c>
      <c r="AL22" s="7">
        <f t="shared" si="10"/>
        <v>155265.23432573178</v>
      </c>
      <c r="AN22" s="10" t="str">
        <f>IF(Inputs!$J$5&gt;1,"Pre-Pri Year 1","Pre-Pri Year")</f>
        <v>Pre-Pri Year 1</v>
      </c>
      <c r="AO22" s="16" t="str">
        <f>IF(Inputs!$J$5&gt;1,"3","3-5")</f>
        <v>3</v>
      </c>
      <c r="AP22" s="57">
        <f>Inputs!F43</f>
        <v>24512</v>
      </c>
      <c r="AQ22" s="7">
        <f>AP22*(1+AQ39)</f>
        <v>25247.360000000001</v>
      </c>
      <c r="AR22" s="7">
        <f t="shared" ref="AR22:AY22" si="11">AQ22*(1+AR39)</f>
        <v>26004.7808</v>
      </c>
      <c r="AS22" s="7">
        <f t="shared" si="11"/>
        <v>26784.924224000002</v>
      </c>
      <c r="AT22" s="7">
        <f t="shared" si="11"/>
        <v>27588.471950720002</v>
      </c>
      <c r="AU22" s="7">
        <f t="shared" si="11"/>
        <v>28416.126109241603</v>
      </c>
      <c r="AV22" s="7">
        <f t="shared" si="11"/>
        <v>29268.609892518853</v>
      </c>
      <c r="AW22" s="7">
        <f t="shared" si="11"/>
        <v>30146.668189294418</v>
      </c>
      <c r="AX22" s="7">
        <f t="shared" si="11"/>
        <v>31051.068234973252</v>
      </c>
      <c r="AY22" s="7">
        <f t="shared" si="11"/>
        <v>31982.600282022449</v>
      </c>
    </row>
    <row r="23" spans="1:51" x14ac:dyDescent="0.3">
      <c r="A23" s="10" t="str">
        <f>IF(Inputs!$J$5&gt;1,"Pre-Pri Year 2","")</f>
        <v>Pre-Pri Year 2</v>
      </c>
      <c r="B23" s="16" t="str">
        <f>IF(Inputs!$J$5&gt;1,"4","")</f>
        <v>4</v>
      </c>
      <c r="C23" s="57">
        <f t="shared" ref="C23:C24" si="12">P23+AC23+AP23</f>
        <v>181535</v>
      </c>
      <c r="D23" s="7">
        <f t="shared" ref="D23:D24" si="13">Q23+AD23+AQ23</f>
        <v>160836.21</v>
      </c>
      <c r="E23" s="7">
        <f t="shared" ref="E23:E24" si="14">R23+AE23+AR23</f>
        <v>171771.7</v>
      </c>
      <c r="F23" s="7">
        <f t="shared" ref="F23:F24" si="15">S23+AF23+AS23</f>
        <v>183838.24036000003</v>
      </c>
      <c r="G23" s="7">
        <f t="shared" ref="G23:G24" si="16">T23+AG23+AT23</f>
        <v>196744.85885792004</v>
      </c>
      <c r="H23" s="7">
        <f t="shared" ref="H23:H24" si="17">U23+AH23+AU23</f>
        <v>210518.15971515042</v>
      </c>
      <c r="I23" s="7">
        <f t="shared" ref="I23:I24" si="18">V23+AI23+AV23</f>
        <v>225214.76516643428</v>
      </c>
      <c r="J23" s="7">
        <f t="shared" ref="J23:J24" si="19">W23+AJ23+AW23</f>
        <v>240897.23883398154</v>
      </c>
      <c r="K23" s="7">
        <f t="shared" ref="K23:K24" si="20">X23+AK23+AX23</f>
        <v>257632.56464330378</v>
      </c>
      <c r="L23" s="7">
        <f t="shared" ref="L23:L24" si="21">Y23+AL23+AY23</f>
        <v>270141.03651889268</v>
      </c>
      <c r="N23" s="10" t="str">
        <f>IF(Inputs!$J$5&gt;1,"Pre-Pri Year 2","")</f>
        <v>Pre-Pri Year 2</v>
      </c>
      <c r="O23" s="16" t="str">
        <f>IF(Inputs!$J$5&gt;1,"4","")</f>
        <v>4</v>
      </c>
      <c r="P23" s="57">
        <f>IF(Inputs!$J$5&gt;1,Inputs!D44,"0")</f>
        <v>74511</v>
      </c>
      <c r="Q23" s="7">
        <f>IF(Inputs!J5&gt;1,(P22*(1-'Achievement Rates'!C8))+(P23*'Achievement Rates'!C19),0)</f>
        <v>57493.289999999994</v>
      </c>
      <c r="R23" s="7">
        <f>IF(Inputs!J5&gt;1,(Q22*(1-'Achievement Rates'!D8))+(Q23*'Achievement Rates'!D19),0)</f>
        <v>61764.703200000004</v>
      </c>
      <c r="S23" s="7">
        <f>IF(Inputs!J5&gt;1,(R22*(1-'Achievement Rates'!E8))+(R23*'Achievement Rates'!E19),0)</f>
        <v>65711.201724000013</v>
      </c>
      <c r="T23" s="7">
        <f>IF(Inputs!J5&gt;1,(S22*(1-'Achievement Rates'!F8))+(S23*'Achievement Rates'!F19),0)</f>
        <v>69832.107253440015</v>
      </c>
      <c r="U23" s="7">
        <f>IF(Inputs!J5&gt;1,(T22*(1-'Achievement Rates'!G8))+(T23*'Achievement Rates'!G19),0)</f>
        <v>74179.510246422011</v>
      </c>
      <c r="V23" s="7">
        <f>IF(Inputs!J5&gt;1,(U22*(1-'Achievement Rates'!H8))+(U23*'Achievement Rates'!H19),0)</f>
        <v>78768.678412856912</v>
      </c>
      <c r="W23" s="7">
        <f>IF(Inputs!J5&gt;1,(V22*(1-'Achievement Rates'!I8))+(V23*'Achievement Rates'!I19),0)</f>
        <v>83612.791024351376</v>
      </c>
      <c r="X23" s="7">
        <f>IF(Inputs!J5&gt;1,(W22*(1-'Achievement Rates'!J8))+(W23*'Achievement Rates'!J19),0)</f>
        <v>88725.538683307386</v>
      </c>
      <c r="Y23" s="7">
        <f>IF(Inputs!J5&gt;1,(X22*(1-'Achievement Rates'!K8))+(X23*'Achievement Rates'!K19),0)</f>
        <v>92293.202392794454</v>
      </c>
      <c r="AA23" s="10" t="str">
        <f>IF(Inputs!$J$5&gt;1,"Pre-Pri Year 2","")</f>
        <v>Pre-Pri Year 2</v>
      </c>
      <c r="AB23" s="16" t="str">
        <f>IF(Inputs!$J$5&gt;1,"4","")</f>
        <v>4</v>
      </c>
      <c r="AC23" s="57">
        <f>IF(Inputs!$J$5&gt;1,Inputs!E44,"0")</f>
        <v>74512</v>
      </c>
      <c r="AD23" s="7">
        <f>IF(Inputs!$J$5&gt;1,(AC22*(1-'Achievement Rates'!P8))+(AC23*'Achievement Rates'!P19),0)</f>
        <v>79336.52</v>
      </c>
      <c r="AE23" s="7">
        <f>IF(Inputs!$J$5&gt;1,(AD22*(1-'Achievement Rates'!Q8))+(AD23*'Achievement Rates'!Q19),0)</f>
        <v>85868.808000000005</v>
      </c>
      <c r="AF23" s="7">
        <f>IF(Inputs!$J$5&gt;1,(AE22*(1-'Achievement Rates'!R8))+(AE23*'Achievement Rates'!R19),0)</f>
        <v>93033.062700000009</v>
      </c>
      <c r="AG23" s="7">
        <f>IF(Inputs!$J$5&gt;1,(AF22*(1-'Achievement Rates'!S8))+(AF23*'Achievement Rates'!S19),0)</f>
        <v>100764.98276224002</v>
      </c>
      <c r="AH23" s="7">
        <f>IF(Inputs!$J$5&gt;1,(AG22*(1-'Achievement Rates'!T8))+(AG23*'Achievement Rates'!T19),0)</f>
        <v>109098.09739293961</v>
      </c>
      <c r="AI23" s="7">
        <f>IF(Inputs!$J$5&gt;1,(AH22*(1-'Achievement Rates'!U8))+(AH23*'Achievement Rates'!U19),0)</f>
        <v>118076.98360567389</v>
      </c>
      <c r="AJ23" s="7">
        <f>IF(Inputs!$J$5&gt;1,(AI22*(1-'Achievement Rates'!V8))+(AI23*'Achievement Rates'!V19),0)</f>
        <v>127750.13702052458</v>
      </c>
      <c r="AK23" s="7">
        <f>IF(Inputs!$J$5&gt;1,(AJ22*(1-'Achievement Rates'!W8))+(AJ23*'Achievement Rates'!W19),0)</f>
        <v>138169.67155491986</v>
      </c>
      <c r="AL23" s="7">
        <f>IF(Inputs!$J$5&gt;1,(AK22*(1-'Achievement Rates'!X8))+(AK23*'Achievement Rates'!X19),0)</f>
        <v>146489.3923470742</v>
      </c>
      <c r="AN23" s="10" t="str">
        <f>IF(Inputs!$J$5&gt;1,"Pre-Pri Year 2","")</f>
        <v>Pre-Pri Year 2</v>
      </c>
      <c r="AO23" s="16" t="str">
        <f>IF(Inputs!$J$5&gt;1,"4","")</f>
        <v>4</v>
      </c>
      <c r="AP23" s="57">
        <f>IF(Inputs!$J$5&gt;1,Inputs!F44,"0")</f>
        <v>32512</v>
      </c>
      <c r="AQ23" s="7">
        <f>IF(Inputs!$J$5&gt;1,(AP22*(1-'Achievement Rates'!AC8))+(AP23*'Achievement Rates'!AC19),0)</f>
        <v>24006.400000000001</v>
      </c>
      <c r="AR23" s="7">
        <f>IF(Inputs!$J$5&gt;1,(AQ22*(1-'Achievement Rates'!AD8))+(AQ23*'Achievement Rates'!AD19),0)</f>
        <v>24138.1888</v>
      </c>
      <c r="AS23" s="7">
        <f>IF(Inputs!$J$5&gt;1,(AR22*(1-'Achievement Rates'!AE8))+(AR23*'Achievement Rates'!AE19),0)</f>
        <v>25093.975935999999</v>
      </c>
      <c r="AT23" s="7">
        <f>IF(Inputs!$J$5&gt;1,(AS22*(1-'Achievement Rates'!AF8))+(AS23*'Achievement Rates'!AF19),0)</f>
        <v>26147.768842240002</v>
      </c>
      <c r="AU23" s="7">
        <f>IF(Inputs!$J$5&gt;1,(AT22*(1-'Achievement Rates'!AG8))+(AT23*'Achievement Rates'!AG19),0)</f>
        <v>27240.552075788801</v>
      </c>
      <c r="AV23" s="7">
        <f>IF(Inputs!$J$5&gt;1,(AU22*(1-'Achievement Rates'!AH8))+(AU23*'Achievement Rates'!AH19),0)</f>
        <v>28369.103147903486</v>
      </c>
      <c r="AW23" s="7">
        <f>IF(Inputs!$J$5&gt;1,(AV22*(1-'Achievement Rates'!AI8))+(AV23*'Achievement Rates'!AI19),0)</f>
        <v>29534.310789105581</v>
      </c>
      <c r="AX23" s="7">
        <f>IF(Inputs!$J$5&gt;1,(AW22*(1-'Achievement Rates'!AJ8))+(AW23*'Achievement Rates'!AJ19),0)</f>
        <v>30737.35440507653</v>
      </c>
      <c r="AY23" s="7">
        <f>IF(Inputs!$J$5&gt;1,(AX22*(1-'Achievement Rates'!AK8))+(AX23*'Achievement Rates'!AK19),0)</f>
        <v>31358.441779024019</v>
      </c>
    </row>
    <row r="24" spans="1:51" x14ac:dyDescent="0.3">
      <c r="A24" s="10" t="str">
        <f>IF(Inputs!$J$5&gt;2,"Pre-Pri Year 3","")</f>
        <v>Pre-Pri Year 3</v>
      </c>
      <c r="B24" s="16" t="str">
        <f>IF(Inputs!$J$5&lt;3,"","5")</f>
        <v>5</v>
      </c>
      <c r="C24" s="57">
        <f t="shared" si="12"/>
        <v>187568</v>
      </c>
      <c r="D24" s="7">
        <f t="shared" si="13"/>
        <v>172880.56000000003</v>
      </c>
      <c r="E24" s="7">
        <f t="shared" si="14"/>
        <v>56060.896199999996</v>
      </c>
      <c r="F24" s="7">
        <f t="shared" si="15"/>
        <v>59626.571754000004</v>
      </c>
      <c r="G24" s="7">
        <f t="shared" si="16"/>
        <v>64153.592490720017</v>
      </c>
      <c r="H24" s="7">
        <f t="shared" si="17"/>
        <v>68963.430738024021</v>
      </c>
      <c r="I24" s="7">
        <f t="shared" si="18"/>
        <v>74075.188656254046</v>
      </c>
      <c r="J24" s="7">
        <f t="shared" si="19"/>
        <v>79509.430299419459</v>
      </c>
      <c r="K24" s="7">
        <f t="shared" si="20"/>
        <v>83612.791024351376</v>
      </c>
      <c r="L24" s="7">
        <f t="shared" si="21"/>
        <v>88725.538683307386</v>
      </c>
      <c r="N24" s="10" t="str">
        <f>IF(Inputs!$J$5&gt;2,"Pre-Pri Year 3","")</f>
        <v>Pre-Pri Year 3</v>
      </c>
      <c r="O24" s="16" t="str">
        <f>IF(Inputs!$J$5&lt;3,"","5")</f>
        <v>5</v>
      </c>
      <c r="P24" s="57">
        <f>IF(Inputs!$J$5&gt;2,Inputs!D45,"0")</f>
        <v>91132</v>
      </c>
      <c r="Q24" s="7">
        <f>IF(Inputs!J5=3,(P23*(1-'Achievement Rates'!C9))+(P24*'Achievement Rates'!C20),0)</f>
        <v>71948.920000000013</v>
      </c>
      <c r="R24" s="7">
        <f>IF(Inputs!J5=3,(Q23*(1-'Achievement Rates'!D9))+(Q24*'Achievement Rates'!D20),0)</f>
        <v>56060.896199999996</v>
      </c>
      <c r="S24" s="7">
        <f>IF(Inputs!J5=3,(R23*(1-'Achievement Rates'!E9))+(R24*'Achievement Rates'!E20),0)</f>
        <v>59626.571754000004</v>
      </c>
      <c r="T24" s="7">
        <f>IF(Inputs!J5=3,(S23*(1-'Achievement Rates'!F9))+(S24*'Achievement Rates'!F20),0)</f>
        <v>64153.592490720017</v>
      </c>
      <c r="U24" s="7">
        <f>IF(Inputs!J5=3,(T23*(1-'Achievement Rates'!G9))+(T24*'Achievement Rates'!G20),0)</f>
        <v>68963.430738024021</v>
      </c>
      <c r="V24" s="7">
        <f>IF(Inputs!J5=3,(U23*(1-'Achievement Rates'!H9))+(U24*'Achievement Rates'!H20),0)</f>
        <v>74075.188656254046</v>
      </c>
      <c r="W24" s="7">
        <f>IF(Inputs!J5=3,(V23*(1-'Achievement Rates'!I9))+(V24*'Achievement Rates'!I20),0)</f>
        <v>79509.430299419459</v>
      </c>
      <c r="X24" s="7">
        <f>IF(Inputs!J5=3,(W23*(1-'Achievement Rates'!J9))+(W24*'Achievement Rates'!J20),0)</f>
        <v>83612.791024351376</v>
      </c>
      <c r="Y24" s="7">
        <f>IF(Inputs!J5=3,(X23*(1-'Achievement Rates'!K9))+(X24*'Achievement Rates'!K20),0)</f>
        <v>88725.538683307386</v>
      </c>
      <c r="AA24" s="10" t="str">
        <f>IF(Inputs!$J$5&gt;2,"Pre-Pri Year 3","")</f>
        <v>Pre-Pri Year 3</v>
      </c>
      <c r="AB24" s="16" t="str">
        <f>IF(Inputs!$J$5&lt;3,"","5")</f>
        <v>5</v>
      </c>
      <c r="AC24" s="57">
        <f>IF(Inputs!$J$5&gt;1,Inputs!E45,"0")</f>
        <v>50522</v>
      </c>
      <c r="AD24" s="7">
        <f>IF(Inputs!J5=3,(AC23*(1-'Achievement Rates'!P9))+(AC24*'Achievement Rates'!P20),0)</f>
        <v>69107.099999999991</v>
      </c>
      <c r="AE24" s="7">
        <f>IF(Inputs!K5=3,(AD23*(1-'Achievement Rates'!Q9))+(AD24*'Achievement Rates'!Q20),0)</f>
        <v>0</v>
      </c>
      <c r="AF24" s="7">
        <f>IF(Inputs!L5=3,(AE23*(1-'Achievement Rates'!R9))+(AE24*'Achievement Rates'!R20),0)</f>
        <v>0</v>
      </c>
      <c r="AG24" s="7">
        <f>IF(Inputs!M5=3,(AF23*(1-'Achievement Rates'!S9))+(AF24*'Achievement Rates'!S20),0)</f>
        <v>0</v>
      </c>
      <c r="AH24" s="7">
        <f>IF(Inputs!N5=3,(AG23*(1-'Achievement Rates'!T9))+(AG24*'Achievement Rates'!T20),0)</f>
        <v>0</v>
      </c>
      <c r="AI24" s="7">
        <f>IF(Inputs!O5=3,(AH23*(1-'Achievement Rates'!U9))+(AH24*'Achievement Rates'!U20),0)</f>
        <v>0</v>
      </c>
      <c r="AJ24" s="7">
        <f>IF(Inputs!P5=3,(AI23*(1-'Achievement Rates'!V9))+(AI24*'Achievement Rates'!V20),0)</f>
        <v>0</v>
      </c>
      <c r="AK24" s="7">
        <f>IF(Inputs!Q5=3,(AJ23*(1-'Achievement Rates'!W9))+(AJ24*'Achievement Rates'!W20),0)</f>
        <v>0</v>
      </c>
      <c r="AL24" s="7">
        <f>IF(Inputs!R5=3,(AK23*(1-'Achievement Rates'!X9))+(AK24*'Achievement Rates'!X20),0)</f>
        <v>0</v>
      </c>
      <c r="AN24" s="10" t="str">
        <f>IF(Inputs!$J$5&gt;2,"Pre-Pri Year 3","")</f>
        <v>Pre-Pri Year 3</v>
      </c>
      <c r="AO24" s="16" t="str">
        <f>IF(Inputs!$J$5&lt;3,"","5")</f>
        <v>5</v>
      </c>
      <c r="AP24" s="57">
        <f>IF(Inputs!$J$5&gt;1,Inputs!F45,"0")</f>
        <v>45914</v>
      </c>
      <c r="AQ24" s="7">
        <f>IF(Inputs!J5=3,(AP23*(1-'Achievement Rates'!AC9))+(AP24*'Achievement Rates'!AC20),0)</f>
        <v>31824.54</v>
      </c>
      <c r="AR24" s="7">
        <f>IF(Inputs!K5=3,(AQ23*(1-'Achievement Rates'!AD9))+(AQ24*'Achievement Rates'!AD20),0)</f>
        <v>0</v>
      </c>
      <c r="AS24" s="7">
        <f>IF(Inputs!L5=3,(AR23*(1-'Achievement Rates'!AE9))+(AR24*'Achievement Rates'!AE20),0)</f>
        <v>0</v>
      </c>
      <c r="AT24" s="7">
        <f>IF(Inputs!M5=3,(AS23*(1-'Achievement Rates'!AF9))+(AS24*'Achievement Rates'!AF20),0)</f>
        <v>0</v>
      </c>
      <c r="AU24" s="7">
        <f>IF(Inputs!N5=3,(AT23*(1-'Achievement Rates'!AG9))+(AT24*'Achievement Rates'!AG20),0)</f>
        <v>0</v>
      </c>
      <c r="AV24" s="7">
        <f>IF(Inputs!O5=3,(AU23*(1-'Achievement Rates'!AH9))+(AU24*'Achievement Rates'!AH20),0)</f>
        <v>0</v>
      </c>
      <c r="AW24" s="7">
        <f>IF(Inputs!P5=3,(AV23*(1-'Achievement Rates'!AI9))+(AV24*'Achievement Rates'!AI20),0)</f>
        <v>0</v>
      </c>
      <c r="AX24" s="7">
        <f>IF(Inputs!Q5=3,(AW23*(1-'Achievement Rates'!AJ9))+(AW24*'Achievement Rates'!AJ20),0)</f>
        <v>0</v>
      </c>
      <c r="AY24" s="7">
        <f>IF(Inputs!R5=3,(AX23*(1-'Achievement Rates'!AK9))+(AX24*'Achievement Rates'!AK20),0)</f>
        <v>0</v>
      </c>
    </row>
    <row r="26" spans="1:51" x14ac:dyDescent="0.3">
      <c r="A26" s="10" t="s">
        <v>23</v>
      </c>
      <c r="B26" s="10" t="s">
        <v>27</v>
      </c>
      <c r="C26" s="10">
        <f>Inputs!$F$5</f>
        <v>2021</v>
      </c>
      <c r="D26" s="10">
        <f>C26+1</f>
        <v>2022</v>
      </c>
      <c r="E26" s="10">
        <f t="shared" ref="E26:L26" si="22">D26+1</f>
        <v>2023</v>
      </c>
      <c r="F26" s="10">
        <f t="shared" si="22"/>
        <v>2024</v>
      </c>
      <c r="G26" s="10">
        <f t="shared" si="22"/>
        <v>2025</v>
      </c>
      <c r="H26" s="10">
        <f t="shared" si="22"/>
        <v>2026</v>
      </c>
      <c r="I26" s="10">
        <f t="shared" si="22"/>
        <v>2027</v>
      </c>
      <c r="J26" s="10">
        <f t="shared" si="22"/>
        <v>2028</v>
      </c>
      <c r="K26" s="10">
        <f t="shared" si="22"/>
        <v>2029</v>
      </c>
      <c r="L26" s="10">
        <f t="shared" si="22"/>
        <v>2030</v>
      </c>
      <c r="N26" s="10" t="s">
        <v>23</v>
      </c>
      <c r="O26" s="10" t="s">
        <v>27</v>
      </c>
      <c r="P26" s="10">
        <f>Inputs!$F$5</f>
        <v>2021</v>
      </c>
      <c r="Q26" s="10">
        <f>P26+1</f>
        <v>2022</v>
      </c>
      <c r="R26" s="10">
        <f t="shared" ref="R26:Y26" si="23">Q26+1</f>
        <v>2023</v>
      </c>
      <c r="S26" s="10">
        <f t="shared" si="23"/>
        <v>2024</v>
      </c>
      <c r="T26" s="10">
        <f t="shared" si="23"/>
        <v>2025</v>
      </c>
      <c r="U26" s="10">
        <f t="shared" si="23"/>
        <v>2026</v>
      </c>
      <c r="V26" s="10">
        <f t="shared" si="23"/>
        <v>2027</v>
      </c>
      <c r="W26" s="10">
        <f t="shared" si="23"/>
        <v>2028</v>
      </c>
      <c r="X26" s="10">
        <f t="shared" si="23"/>
        <v>2029</v>
      </c>
      <c r="Y26" s="10">
        <f t="shared" si="23"/>
        <v>2030</v>
      </c>
      <c r="AA26" s="10" t="s">
        <v>23</v>
      </c>
      <c r="AB26" s="10" t="s">
        <v>27</v>
      </c>
      <c r="AC26" s="10">
        <f>Inputs!$F$5</f>
        <v>2021</v>
      </c>
      <c r="AD26" s="10">
        <f>AC26+1</f>
        <v>2022</v>
      </c>
      <c r="AE26" s="10">
        <f t="shared" ref="AE26:AL26" si="24">AD26+1</f>
        <v>2023</v>
      </c>
      <c r="AF26" s="10">
        <f t="shared" si="24"/>
        <v>2024</v>
      </c>
      <c r="AG26" s="10">
        <f t="shared" si="24"/>
        <v>2025</v>
      </c>
      <c r="AH26" s="10">
        <f t="shared" si="24"/>
        <v>2026</v>
      </c>
      <c r="AI26" s="10">
        <f t="shared" si="24"/>
        <v>2027</v>
      </c>
      <c r="AJ26" s="10">
        <f t="shared" si="24"/>
        <v>2028</v>
      </c>
      <c r="AK26" s="10">
        <f t="shared" si="24"/>
        <v>2029</v>
      </c>
      <c r="AL26" s="10">
        <f t="shared" si="24"/>
        <v>2030</v>
      </c>
      <c r="AN26" s="10" t="s">
        <v>23</v>
      </c>
      <c r="AO26" s="10" t="s">
        <v>27</v>
      </c>
      <c r="AP26" s="10">
        <f>Inputs!$F$5</f>
        <v>2021</v>
      </c>
      <c r="AQ26" s="10">
        <f>AP26+1</f>
        <v>2022</v>
      </c>
      <c r="AR26" s="10">
        <f t="shared" ref="AR26:AY26" si="25">AQ26+1</f>
        <v>2023</v>
      </c>
      <c r="AS26" s="10">
        <f t="shared" si="25"/>
        <v>2024</v>
      </c>
      <c r="AT26" s="10">
        <f t="shared" si="25"/>
        <v>2025</v>
      </c>
      <c r="AU26" s="10">
        <f t="shared" si="25"/>
        <v>2026</v>
      </c>
      <c r="AV26" s="10">
        <f t="shared" si="25"/>
        <v>2027</v>
      </c>
      <c r="AW26" s="10">
        <f t="shared" si="25"/>
        <v>2028</v>
      </c>
      <c r="AX26" s="10">
        <f t="shared" si="25"/>
        <v>2029</v>
      </c>
      <c r="AY26" s="10">
        <f t="shared" si="25"/>
        <v>2030</v>
      </c>
    </row>
    <row r="27" spans="1:51" x14ac:dyDescent="0.3">
      <c r="A27" s="10" t="str">
        <f>IF(Inputs!$J$5&gt;1,"Pre-Pri Year 1","Pre-Pri Year")</f>
        <v>Pre-Pri Year 1</v>
      </c>
      <c r="B27" s="16" t="str">
        <f>IF(Inputs!$J$5&gt;1,"3","3-5")</f>
        <v>3</v>
      </c>
      <c r="C27" s="57">
        <f>P27+AC27+AP27</f>
        <v>150282</v>
      </c>
      <c r="D27" s="7">
        <f>Q27+AD27+AQ27</f>
        <v>158323.35</v>
      </c>
      <c r="E27" s="7">
        <f t="shared" ref="E27:E29" si="26">R27+AE27+AR27</f>
        <v>166817.91390000001</v>
      </c>
      <c r="F27" s="7">
        <f t="shared" ref="F27:F29" si="27">S27+AF27+AS27</f>
        <v>175792.00652100006</v>
      </c>
      <c r="G27" s="7">
        <f t="shared" ref="G27:G29" si="28">T27+AG27+AT27</f>
        <v>185273.49523287005</v>
      </c>
      <c r="H27" s="7">
        <f t="shared" ref="H27:H29" si="29">U27+AH27+AU27</f>
        <v>195291.89231707057</v>
      </c>
      <c r="I27" s="7">
        <f t="shared" ref="I27:I29" si="30">V27+AI27+AV27</f>
        <v>205878.45284742996</v>
      </c>
      <c r="J27" s="7">
        <f t="shared" ref="J27:J29" si="31">W27+AJ27+AW27</f>
        <v>217066.27841935094</v>
      </c>
      <c r="K27" s="7">
        <f t="shared" ref="K27:K29" si="32">X27+AK27+AX27</f>
        <v>228890.42707761948</v>
      </c>
      <c r="L27" s="7">
        <f t="shared" ref="L27:L29" si="33">Y27+AL27+AY27</f>
        <v>241388.02981397737</v>
      </c>
      <c r="N27" s="10" t="str">
        <f>IF(Inputs!$J$5&gt;1,"Pre-Pri Year 1","Pre-Pri Year")</f>
        <v>Pre-Pri Year 1</v>
      </c>
      <c r="O27" s="16" t="str">
        <f>IF(Inputs!$J$5&gt;1,"3","3-5")</f>
        <v>3</v>
      </c>
      <c r="P27" s="57">
        <f>Inputs!D46</f>
        <v>41552</v>
      </c>
      <c r="Q27" s="7">
        <f>P27*(1+Q40)</f>
        <v>44045.120000000003</v>
      </c>
      <c r="R27" s="7">
        <f t="shared" ref="R27:Y27" si="34">Q27*(1+R40)</f>
        <v>46687.827200000007</v>
      </c>
      <c r="S27" s="7">
        <f t="shared" si="34"/>
        <v>49489.09683200001</v>
      </c>
      <c r="T27" s="7">
        <f t="shared" si="34"/>
        <v>52458.44264192001</v>
      </c>
      <c r="U27" s="7">
        <f t="shared" si="34"/>
        <v>55605.949200435214</v>
      </c>
      <c r="V27" s="7">
        <f t="shared" si="34"/>
        <v>58942.306152461329</v>
      </c>
      <c r="W27" s="7">
        <f t="shared" si="34"/>
        <v>62478.844521609011</v>
      </c>
      <c r="X27" s="7">
        <f t="shared" si="34"/>
        <v>66227.575192905555</v>
      </c>
      <c r="Y27" s="7">
        <f t="shared" si="34"/>
        <v>70201.229704479891</v>
      </c>
      <c r="AA27" s="10" t="str">
        <f>IF(Inputs!$J$5&gt;1,"Pre-Pri Year 1","Pre-Pri Year")</f>
        <v>Pre-Pri Year 1</v>
      </c>
      <c r="AB27" s="16" t="str">
        <f>IF(Inputs!$J$5&gt;1,"3","3-5")</f>
        <v>3</v>
      </c>
      <c r="AC27" s="57">
        <f>Inputs!E46</f>
        <v>76211</v>
      </c>
      <c r="AD27" s="7">
        <f>AC27*(1+AD40)</f>
        <v>80783.66</v>
      </c>
      <c r="AE27" s="7">
        <f t="shared" ref="AE27:AL27" si="35">AD27*(1+AE40)</f>
        <v>85630.679600000003</v>
      </c>
      <c r="AF27" s="7">
        <f t="shared" si="35"/>
        <v>90768.520376000015</v>
      </c>
      <c r="AG27" s="7">
        <f t="shared" si="35"/>
        <v>96214.631598560023</v>
      </c>
      <c r="AH27" s="7">
        <f t="shared" si="35"/>
        <v>101987.50949447363</v>
      </c>
      <c r="AI27" s="7">
        <f t="shared" si="35"/>
        <v>108106.76006414206</v>
      </c>
      <c r="AJ27" s="7">
        <f t="shared" si="35"/>
        <v>114593.16566799059</v>
      </c>
      <c r="AK27" s="7">
        <f t="shared" si="35"/>
        <v>121468.75560807003</v>
      </c>
      <c r="AL27" s="7">
        <f t="shared" si="35"/>
        <v>128756.88094455424</v>
      </c>
      <c r="AN27" s="10" t="str">
        <f>IF(Inputs!$J$5&gt;1,"Pre-Pri Year 1","Pre-Pri Year")</f>
        <v>Pre-Pri Year 1</v>
      </c>
      <c r="AO27" s="16" t="str">
        <f>IF(Inputs!$J$5&gt;1,"3","3-5")</f>
        <v>3</v>
      </c>
      <c r="AP27" s="57">
        <f>Inputs!F46</f>
        <v>32519</v>
      </c>
      <c r="AQ27" s="7">
        <f>AP27*(1+AQ40)</f>
        <v>33494.57</v>
      </c>
      <c r="AR27" s="7">
        <f t="shared" ref="AR27:AY27" si="36">AQ27*(1+AR40)</f>
        <v>34499.407100000004</v>
      </c>
      <c r="AS27" s="7">
        <f t="shared" si="36"/>
        <v>35534.389313000007</v>
      </c>
      <c r="AT27" s="7">
        <f t="shared" si="36"/>
        <v>36600.420992390005</v>
      </c>
      <c r="AU27" s="7">
        <f t="shared" si="36"/>
        <v>37698.433622161705</v>
      </c>
      <c r="AV27" s="7">
        <f t="shared" si="36"/>
        <v>38829.386630826557</v>
      </c>
      <c r="AW27" s="7">
        <f t="shared" si="36"/>
        <v>39994.268229751353</v>
      </c>
      <c r="AX27" s="7">
        <f t="shared" si="36"/>
        <v>41194.096276643897</v>
      </c>
      <c r="AY27" s="7">
        <f t="shared" si="36"/>
        <v>42429.919164943218</v>
      </c>
    </row>
    <row r="28" spans="1:51" x14ac:dyDescent="0.3">
      <c r="A28" s="10" t="str">
        <f>IF(Inputs!$J$5&gt;1,"Pre-Pri Year 2","")</f>
        <v>Pre-Pri Year 2</v>
      </c>
      <c r="B28" s="16" t="str">
        <f>IF(Inputs!$J$5&gt;1,"4","")</f>
        <v>4</v>
      </c>
      <c r="C28" s="57">
        <f t="shared" ref="C28:C29" si="37">P28+AC28+AP28</f>
        <v>180465</v>
      </c>
      <c r="D28" s="7">
        <f t="shared" ref="D28:D29" si="38">Q28+AD28+AQ28</f>
        <v>130449.84</v>
      </c>
      <c r="E28" s="7">
        <f t="shared" si="26"/>
        <v>136905.10919999998</v>
      </c>
      <c r="F28" s="7">
        <f t="shared" si="27"/>
        <v>146201.508138</v>
      </c>
      <c r="G28" s="7">
        <f t="shared" si="28"/>
        <v>156158.98081986004</v>
      </c>
      <c r="H28" s="7">
        <f t="shared" si="29"/>
        <v>166746.14570958304</v>
      </c>
      <c r="I28" s="7">
        <f t="shared" si="30"/>
        <v>179668.54093170492</v>
      </c>
      <c r="J28" s="7">
        <f t="shared" si="31"/>
        <v>193525.74567658413</v>
      </c>
      <c r="K28" s="7">
        <f t="shared" si="32"/>
        <v>208383.6272825769</v>
      </c>
      <c r="L28" s="7">
        <f t="shared" si="33"/>
        <v>224312.61853606708</v>
      </c>
      <c r="N28" s="10" t="str">
        <f>IF(Inputs!$J$5&gt;1,"Pre-Pri Year 2","")</f>
        <v>Pre-Pri Year 2</v>
      </c>
      <c r="O28" s="16" t="str">
        <f>IF(Inputs!$J$5&gt;1,"4","")</f>
        <v>4</v>
      </c>
      <c r="P28" s="57">
        <f>IF(Inputs!$J$5&gt;1,Inputs!D47,"0")</f>
        <v>65485</v>
      </c>
      <c r="Q28" s="7">
        <f>IF(Inputs!J5&gt;1,(P27*(1-'Achievement Rates'!C11))+(P28*'Achievement Rates'!C22),0)</f>
        <v>36692.04</v>
      </c>
      <c r="R28" s="7">
        <f>IF(Inputs!J5&gt;1,(Q27*(1-'Achievement Rates'!D11))+(Q28*'Achievement Rates'!D22),0)</f>
        <v>38098.662000000004</v>
      </c>
      <c r="S28" s="7">
        <f>IF(Inputs!J5&gt;1,(R27*(1-'Achievement Rates'!E11))+(R28*'Achievement Rates'!E22),0)</f>
        <v>40913.504632000004</v>
      </c>
      <c r="T28" s="7">
        <f>IF(Inputs!J5&gt;1,(S27*(1-'Achievement Rates'!F11))+(S28*'Achievement Rates'!F22),0)</f>
        <v>43959.54025848001</v>
      </c>
      <c r="U28" s="7">
        <f>IF(Inputs!J5&gt;1,(T27*(1-'Achievement Rates'!G11))+(T28*'Achievement Rates'!G22),0)</f>
        <v>47212.598377728013</v>
      </c>
      <c r="V28" s="7">
        <f>IF(Inputs!J5&gt;1,(U27*(1-'Achievement Rates'!H11))+(U28*'Achievement Rates'!H22),0)</f>
        <v>51157.473264400396</v>
      </c>
      <c r="W28" s="7">
        <f>IF(Inputs!J5&gt;1,(V27*(1-'Achievement Rates'!I11))+(V28*'Achievement Rates'!I22),0)</f>
        <v>55405.767783313648</v>
      </c>
      <c r="X28" s="7">
        <f>IF(Inputs!J5&gt;1,(W27*(1-'Achievement Rates'!J11))+(W28*'Achievement Rates'!J22),0)</f>
        <v>59979.690740744649</v>
      </c>
      <c r="Y28" s="7">
        <f>IF(Inputs!J5&gt;1,(X27*(1-'Achievement Rates'!K11))+(X28*'Achievement Rates'!K22),0)</f>
        <v>64903.023689047441</v>
      </c>
      <c r="AA28" s="10" t="str">
        <f>IF(Inputs!$J$5&gt;1,"Pre-Pri Year 2","")</f>
        <v>Pre-Pri Year 2</v>
      </c>
      <c r="AB28" s="16" t="str">
        <f>IF(Inputs!$J$5&gt;1,"4","")</f>
        <v>4</v>
      </c>
      <c r="AC28" s="57">
        <f>IF(Inputs!$J$5&gt;1,Inputs!E47,"0")</f>
        <v>69781</v>
      </c>
      <c r="AD28" s="7">
        <f>IF(Inputs!$J$5&gt;1,(AC27*(1-'Achievement Rates'!P11))+(AC28*'Achievement Rates'!P22),0)</f>
        <v>65284.26</v>
      </c>
      <c r="AE28" s="7">
        <f>IF(Inputs!$J$5&gt;1,(AD27*(1-'Achievement Rates'!Q11))+(AD28*'Achievement Rates'!Q22),0)</f>
        <v>69816.802199999991</v>
      </c>
      <c r="AF28" s="7">
        <f>IF(Inputs!$J$5&gt;1,(AE27*(1-'Achievement Rates'!R11))+(AE28*'Achievement Rates'!R22),0)</f>
        <v>75038.720499999996</v>
      </c>
      <c r="AG28" s="7">
        <f>IF(Inputs!$J$5&gt;1,(AF27*(1-'Achievement Rates'!S11))+(AF28*'Achievement Rates'!S22),0)</f>
        <v>80626.68513588002</v>
      </c>
      <c r="AH28" s="7">
        <f>IF(Inputs!$J$5&gt;1,(AG27*(1-'Achievement Rates'!T11))+(AG28*'Achievement Rates'!T22),0)</f>
        <v>86593.16843870403</v>
      </c>
      <c r="AI28" s="7">
        <f>IF(Inputs!$J$5&gt;1,(AH27*(1-'Achievement Rates'!U11))+(AH28*'Achievement Rates'!U22),0)</f>
        <v>93828.50873491574</v>
      </c>
      <c r="AJ28" s="7">
        <f>IF(Inputs!$J$5&gt;1,(AI27*(1-'Achievement Rates'!V11))+(AI28*'Achievement Rates'!V22),0)</f>
        <v>101620.35446029353</v>
      </c>
      <c r="AK28" s="7">
        <f>IF(Inputs!$J$5&gt;1,(AJ27*(1-'Achievement Rates'!W11))+(AJ28*'Achievement Rates'!W22),0)</f>
        <v>110009.43904127096</v>
      </c>
      <c r="AL28" s="7">
        <f>IF(Inputs!$J$5&gt;1,(AK27*(1-'Achievement Rates'!X11))+(AK28*'Achievement Rates'!X22),0)</f>
        <v>119039.38049590863</v>
      </c>
      <c r="AN28" s="10" t="str">
        <f>IF(Inputs!$J$5&gt;1,"Pre-Pri Year 2","")</f>
        <v>Pre-Pri Year 2</v>
      </c>
      <c r="AO28" s="16" t="str">
        <f>IF(Inputs!$J$5&gt;1,"4","")</f>
        <v>4</v>
      </c>
      <c r="AP28" s="57">
        <f>IF(Inputs!$J$5&gt;1,Inputs!F47,"0")</f>
        <v>45199</v>
      </c>
      <c r="AQ28" s="7">
        <f>IF(Inputs!$J$5&gt;1,(AP27*(1-'Achievement Rates'!AC11))+(AP28*'Achievement Rates'!AC22),0)</f>
        <v>28473.54</v>
      </c>
      <c r="AR28" s="7">
        <f>IF(Inputs!$J$5&gt;1,(AQ27*(1-'Achievement Rates'!AD11))+(AQ28*'Achievement Rates'!AD22),0)</f>
        <v>28989.645</v>
      </c>
      <c r="AS28" s="7">
        <f>IF(Inputs!$J$5&gt;1,(AR27*(1-'Achievement Rates'!AE11))+(AR28*'Achievement Rates'!AE22),0)</f>
        <v>30249.283006000005</v>
      </c>
      <c r="AT28" s="7">
        <f>IF(Inputs!$J$5&gt;1,(AS27*(1-'Achievement Rates'!AF11))+(AS28*'Achievement Rates'!AF22),0)</f>
        <v>31572.755425500007</v>
      </c>
      <c r="AU28" s="7">
        <f>IF(Inputs!$J$5&gt;1,(AT27*(1-'Achievement Rates'!AG11))+(AT28*'Achievement Rates'!AG22),0)</f>
        <v>32940.378893151006</v>
      </c>
      <c r="AV28" s="7">
        <f>IF(Inputs!$J$5&gt;1,(AU27*(1-'Achievement Rates'!AH11))+(AU28*'Achievement Rates'!AH22),0)</f>
        <v>34682.558932388769</v>
      </c>
      <c r="AW28" s="7">
        <f>IF(Inputs!$J$5&gt;1,(AV27*(1-'Achievement Rates'!AI11))+(AV28*'Achievement Rates'!AI22),0)</f>
        <v>36499.623432976965</v>
      </c>
      <c r="AX28" s="7">
        <f>IF(Inputs!$J$5&gt;1,(AW27*(1-'Achievement Rates'!AJ11))+(AW28*'Achievement Rates'!AJ22),0)</f>
        <v>38394.497500561294</v>
      </c>
      <c r="AY28" s="7">
        <f>IF(Inputs!$J$5&gt;1,(AX27*(1-'Achievement Rates'!AK11))+(AX28*'Achievement Rates'!AK22),0)</f>
        <v>40370.214351111019</v>
      </c>
    </row>
    <row r="29" spans="1:51" x14ac:dyDescent="0.3">
      <c r="A29" s="10" t="str">
        <f>IF(Inputs!$J$5&gt;2,"Pre-Pri Year 3","")</f>
        <v>Pre-Pri Year 3</v>
      </c>
      <c r="B29" s="16" t="str">
        <f>IF(Inputs!$J$5&lt;3,"","5")</f>
        <v>5</v>
      </c>
      <c r="C29" s="57">
        <f t="shared" si="37"/>
        <v>185821</v>
      </c>
      <c r="D29" s="7">
        <f t="shared" si="38"/>
        <v>160881.65</v>
      </c>
      <c r="E29" s="7">
        <f t="shared" si="26"/>
        <v>33904.352400000003</v>
      </c>
      <c r="F29" s="7">
        <f t="shared" si="27"/>
        <v>34543.953132000002</v>
      </c>
      <c r="G29" s="7">
        <f t="shared" si="28"/>
        <v>37513.033231440008</v>
      </c>
      <c r="H29" s="7">
        <f t="shared" si="29"/>
        <v>40817.907370116016</v>
      </c>
      <c r="I29" s="7">
        <f t="shared" si="30"/>
        <v>44379.842475064332</v>
      </c>
      <c r="J29" s="7">
        <f t="shared" si="31"/>
        <v>49111.174333824376</v>
      </c>
      <c r="K29" s="7">
        <f t="shared" si="32"/>
        <v>54297.652427647372</v>
      </c>
      <c r="L29" s="7">
        <f t="shared" si="33"/>
        <v>59979.690740744649</v>
      </c>
      <c r="N29" s="10" t="str">
        <f>IF(Inputs!$J$5&gt;2,"Pre-Pri Year 3","")</f>
        <v>Pre-Pri Year 3</v>
      </c>
      <c r="O29" s="16" t="str">
        <f>IF(Inputs!$J$5&lt;3,"","5")</f>
        <v>5</v>
      </c>
      <c r="P29" s="57">
        <f>IF(Inputs!$J$5&gt;1,Inputs!D48,"0")</f>
        <v>74451</v>
      </c>
      <c r="Q29" s="7">
        <f>IF(Inputs!J5=3,(P28*(1-'Achievement Rates'!C12))+(P29*'Achievement Rates'!C23),0)</f>
        <v>58729.950000000004</v>
      </c>
      <c r="R29" s="7">
        <f>IF(Inputs!J5=3,(Q28*(1-'Achievement Rates'!D12))+(Q29*'Achievement Rates'!D23),0)</f>
        <v>33904.352400000003</v>
      </c>
      <c r="S29" s="7">
        <f>IF(Inputs!J5=3,(R28*(1-'Achievement Rates'!E12))+(R29*'Achievement Rates'!E23),0)</f>
        <v>34543.953132000002</v>
      </c>
      <c r="T29" s="7">
        <f>IF(Inputs!J5=3,(S28*(1-'Achievement Rates'!F12))+(S29*'Achievement Rates'!F23),0)</f>
        <v>37513.033231440008</v>
      </c>
      <c r="U29" s="7">
        <f>IF(Inputs!J5=3,(T28*(1-'Achievement Rates'!G12))+(T29*'Achievement Rates'!G23),0)</f>
        <v>40817.907370116016</v>
      </c>
      <c r="V29" s="7">
        <f>IF(Inputs!J5=3,(U28*(1-'Achievement Rates'!H12))+(U29*'Achievement Rates'!H23),0)</f>
        <v>44379.842475064332</v>
      </c>
      <c r="W29" s="7">
        <f>IF(Inputs!J5=3,(V28*(1-'Achievement Rates'!I12))+(V29*'Achievement Rates'!I23),0)</f>
        <v>49111.174333824376</v>
      </c>
      <c r="X29" s="7">
        <f>IF(Inputs!J5=3,(W28*(1-'Achievement Rates'!J12))+(W29*'Achievement Rates'!J23),0)</f>
        <v>54297.652427647372</v>
      </c>
      <c r="Y29" s="7">
        <f>IF(Inputs!J5=3,(X28*(1-'Achievement Rates'!K12))+(X29*'Achievement Rates'!K23),0)</f>
        <v>59979.690740744649</v>
      </c>
      <c r="AA29" s="10" t="str">
        <f>IF(Inputs!$J$5&gt;2,"Pre-Pri Year 3","")</f>
        <v>Pre-Pri Year 3</v>
      </c>
      <c r="AB29" s="16" t="str">
        <f>IF(Inputs!$J$5&lt;3,"","5")</f>
        <v>5</v>
      </c>
      <c r="AC29" s="57">
        <f>IF(Inputs!$J$5&gt;1,Inputs!E48,"0")</f>
        <v>95812</v>
      </c>
      <c r="AD29" s="7">
        <f>IF(Inputs!J5=3,(AC28*(1-'Achievement Rates'!P12))+(AC29*'Achievement Rates'!P23),0)</f>
        <v>63406.64</v>
      </c>
      <c r="AE29" s="7">
        <f>IF(Inputs!K5=3,(AD28*(1-'Achievement Rates'!Q12))+(AD29*'Achievement Rates'!Q23),0)</f>
        <v>0</v>
      </c>
      <c r="AF29" s="7">
        <f>IF(Inputs!L5=3,(AE28*(1-'Achievement Rates'!R12))+(AE29*'Achievement Rates'!R23),0)</f>
        <v>0</v>
      </c>
      <c r="AG29" s="7">
        <f>IF(Inputs!M5=3,(AF28*(1-'Achievement Rates'!S12))+(AF29*'Achievement Rates'!S23),0)</f>
        <v>0</v>
      </c>
      <c r="AH29" s="7">
        <f>IF(Inputs!N5=3,(AG28*(1-'Achievement Rates'!T12))+(AG29*'Achievement Rates'!T23),0)</f>
        <v>0</v>
      </c>
      <c r="AI29" s="7">
        <f>IF(Inputs!O5=3,(AH28*(1-'Achievement Rates'!U12))+(AH29*'Achievement Rates'!U23),0)</f>
        <v>0</v>
      </c>
      <c r="AJ29" s="7">
        <f>IF(Inputs!P5=3,(AI28*(1-'Achievement Rates'!V12))+(AI29*'Achievement Rates'!V23),0)</f>
        <v>0</v>
      </c>
      <c r="AK29" s="7">
        <f>IF(Inputs!Q5=3,(AJ28*(1-'Achievement Rates'!W12))+(AJ29*'Achievement Rates'!W23),0)</f>
        <v>0</v>
      </c>
      <c r="AL29" s="7">
        <f>IF(Inputs!R5=3,(AK28*(1-'Achievement Rates'!X12))+(AK29*'Achievement Rates'!X23),0)</f>
        <v>0</v>
      </c>
      <c r="AN29" s="10" t="str">
        <f>IF(Inputs!$J$5&gt;2,"Pre-Pri Year 3","")</f>
        <v>Pre-Pri Year 3</v>
      </c>
      <c r="AO29" s="16" t="str">
        <f>IF(Inputs!$J$5&lt;3,"","5")</f>
        <v>5</v>
      </c>
      <c r="AP29" s="57">
        <f>IF(Inputs!$J$5&gt;1,Inputs!F48,"0")</f>
        <v>15558</v>
      </c>
      <c r="AQ29" s="7">
        <f>IF(Inputs!J5=3,(AP28*(1-'Achievement Rates'!AC12))+(AP29*'Achievement Rates'!AC23),0)</f>
        <v>38745.06</v>
      </c>
      <c r="AR29" s="7">
        <f>IF(Inputs!K5=3,(AQ28*(1-'Achievement Rates'!AD12))+(AQ29*'Achievement Rates'!AD23),0)</f>
        <v>0</v>
      </c>
      <c r="AS29" s="7">
        <f>IF(Inputs!L5=3,(AR28*(1-'Achievement Rates'!AE12))+(AR29*'Achievement Rates'!AE23),0)</f>
        <v>0</v>
      </c>
      <c r="AT29" s="7">
        <f>IF(Inputs!M5=3,(AS28*(1-'Achievement Rates'!AF12))+(AS29*'Achievement Rates'!AF23),0)</f>
        <v>0</v>
      </c>
      <c r="AU29" s="7">
        <f>IF(Inputs!N5=3,(AT28*(1-'Achievement Rates'!AG12))+(AT29*'Achievement Rates'!AG23),0)</f>
        <v>0</v>
      </c>
      <c r="AV29" s="7">
        <f>IF(Inputs!O5=3,(AU28*(1-'Achievement Rates'!AH12))+(AU29*'Achievement Rates'!AH23),0)</f>
        <v>0</v>
      </c>
      <c r="AW29" s="7">
        <f>IF(Inputs!P5=3,(AV28*(1-'Achievement Rates'!AI12))+(AV29*'Achievement Rates'!AI23),0)</f>
        <v>0</v>
      </c>
      <c r="AX29" s="7">
        <f>IF(Inputs!Q5=3,(AW28*(1-'Achievement Rates'!AJ12))+(AW29*'Achievement Rates'!AJ23),0)</f>
        <v>0</v>
      </c>
      <c r="AY29" s="7">
        <f>IF(Inputs!R5=3,(AX28*(1-'Achievement Rates'!AK12))+(AX29*'Achievement Rates'!AK23),0)</f>
        <v>0</v>
      </c>
    </row>
    <row r="31" spans="1:51" x14ac:dyDescent="0.3">
      <c r="A31" s="10" t="s">
        <v>50</v>
      </c>
      <c r="B31" s="10" t="s">
        <v>27</v>
      </c>
      <c r="C31" s="10">
        <f>Inputs!$F$5</f>
        <v>2021</v>
      </c>
      <c r="D31" s="10">
        <f>C31+1</f>
        <v>2022</v>
      </c>
      <c r="E31" s="10">
        <f t="shared" ref="E31:L31" si="39">D31+1</f>
        <v>2023</v>
      </c>
      <c r="F31" s="10">
        <f t="shared" si="39"/>
        <v>2024</v>
      </c>
      <c r="G31" s="10">
        <f t="shared" si="39"/>
        <v>2025</v>
      </c>
      <c r="H31" s="10">
        <f t="shared" si="39"/>
        <v>2026</v>
      </c>
      <c r="I31" s="10">
        <f t="shared" si="39"/>
        <v>2027</v>
      </c>
      <c r="J31" s="10">
        <f t="shared" si="39"/>
        <v>2028</v>
      </c>
      <c r="K31" s="10">
        <f t="shared" si="39"/>
        <v>2029</v>
      </c>
      <c r="L31" s="10">
        <f t="shared" si="39"/>
        <v>2030</v>
      </c>
      <c r="N31" s="10" t="s">
        <v>50</v>
      </c>
      <c r="O31" s="10" t="s">
        <v>27</v>
      </c>
      <c r="P31" s="10">
        <f>Inputs!$F$5</f>
        <v>2021</v>
      </c>
      <c r="Q31" s="10">
        <f>P31+1</f>
        <v>2022</v>
      </c>
      <c r="R31" s="10">
        <f t="shared" ref="R31:Y31" si="40">Q31+1</f>
        <v>2023</v>
      </c>
      <c r="S31" s="10">
        <f t="shared" si="40"/>
        <v>2024</v>
      </c>
      <c r="T31" s="10">
        <f t="shared" si="40"/>
        <v>2025</v>
      </c>
      <c r="U31" s="10">
        <f t="shared" si="40"/>
        <v>2026</v>
      </c>
      <c r="V31" s="10">
        <f t="shared" si="40"/>
        <v>2027</v>
      </c>
      <c r="W31" s="10">
        <f t="shared" si="40"/>
        <v>2028</v>
      </c>
      <c r="X31" s="10">
        <f t="shared" si="40"/>
        <v>2029</v>
      </c>
      <c r="Y31" s="10">
        <f t="shared" si="40"/>
        <v>2030</v>
      </c>
      <c r="AA31" s="10" t="s">
        <v>50</v>
      </c>
      <c r="AB31" s="10" t="s">
        <v>27</v>
      </c>
      <c r="AC31" s="10">
        <f>Inputs!$F$5</f>
        <v>2021</v>
      </c>
      <c r="AD31" s="10">
        <f>AC31+1</f>
        <v>2022</v>
      </c>
      <c r="AE31" s="10">
        <f t="shared" ref="AE31:AL31" si="41">AD31+1</f>
        <v>2023</v>
      </c>
      <c r="AF31" s="10">
        <f t="shared" si="41"/>
        <v>2024</v>
      </c>
      <c r="AG31" s="10">
        <f t="shared" si="41"/>
        <v>2025</v>
      </c>
      <c r="AH31" s="10">
        <f t="shared" si="41"/>
        <v>2026</v>
      </c>
      <c r="AI31" s="10">
        <f t="shared" si="41"/>
        <v>2027</v>
      </c>
      <c r="AJ31" s="10">
        <f t="shared" si="41"/>
        <v>2028</v>
      </c>
      <c r="AK31" s="10">
        <f t="shared" si="41"/>
        <v>2029</v>
      </c>
      <c r="AL31" s="10">
        <f t="shared" si="41"/>
        <v>2030</v>
      </c>
      <c r="AN31" s="10" t="s">
        <v>50</v>
      </c>
      <c r="AO31" s="10" t="s">
        <v>27</v>
      </c>
      <c r="AP31" s="10">
        <f>Inputs!$F$5</f>
        <v>2021</v>
      </c>
      <c r="AQ31" s="10">
        <f>AP31+1</f>
        <v>2022</v>
      </c>
      <c r="AR31" s="10">
        <f t="shared" ref="AR31:AY31" si="42">AQ31+1</f>
        <v>2023</v>
      </c>
      <c r="AS31" s="10">
        <f t="shared" si="42"/>
        <v>2024</v>
      </c>
      <c r="AT31" s="10">
        <f t="shared" si="42"/>
        <v>2025</v>
      </c>
      <c r="AU31" s="10">
        <f t="shared" si="42"/>
        <v>2026</v>
      </c>
      <c r="AV31" s="10">
        <f t="shared" si="42"/>
        <v>2027</v>
      </c>
      <c r="AW31" s="10">
        <f t="shared" si="42"/>
        <v>2028</v>
      </c>
      <c r="AX31" s="10">
        <f t="shared" si="42"/>
        <v>2029</v>
      </c>
      <c r="AY31" s="10">
        <f t="shared" si="42"/>
        <v>2030</v>
      </c>
    </row>
    <row r="32" spans="1:51" x14ac:dyDescent="0.3">
      <c r="A32" s="10" t="str">
        <f>IF(Inputs!$J$5&gt;1,"Pre-Pri Year 1","Pre-Pri Year")</f>
        <v>Pre-Pri Year 1</v>
      </c>
      <c r="B32" s="16" t="str">
        <f>IF(Inputs!$J$5&gt;1,"3","3-5")</f>
        <v>3</v>
      </c>
      <c r="C32" s="57">
        <f t="shared" ref="C32:L32" si="43">C22+C27</f>
        <v>318303</v>
      </c>
      <c r="D32" s="7">
        <f t="shared" si="43"/>
        <v>338896.99</v>
      </c>
      <c r="E32" s="7">
        <f t="shared" si="43"/>
        <v>357722.60430000001</v>
      </c>
      <c r="F32" s="7">
        <f t="shared" si="43"/>
        <v>377655.6635170001</v>
      </c>
      <c r="G32" s="7">
        <f t="shared" si="43"/>
        <v>398763.83222463005</v>
      </c>
      <c r="H32" s="7">
        <f t="shared" si="43"/>
        <v>421119.01604397502</v>
      </c>
      <c r="I32" s="7">
        <f t="shared" si="43"/>
        <v>444797.63231578557</v>
      </c>
      <c r="J32" s="7">
        <f t="shared" si="43"/>
        <v>469880.8982859751</v>
      </c>
      <c r="K32" s="7">
        <f t="shared" si="43"/>
        <v>496455.13795007911</v>
      </c>
      <c r="L32" s="7">
        <f t="shared" si="43"/>
        <v>524612.10877799103</v>
      </c>
      <c r="N32" s="10" t="str">
        <f>IF(Inputs!$J$5&gt;1,"Pre-Pri Year 1","Pre-Pri Year")</f>
        <v>Pre-Pri Year 1</v>
      </c>
      <c r="O32" s="16" t="str">
        <f>IF(Inputs!$J$5&gt;1,"3","3-5")</f>
        <v>3</v>
      </c>
      <c r="P32" s="57">
        <f t="shared" ref="P32:Y32" si="44">P22+P27</f>
        <v>100607</v>
      </c>
      <c r="Q32" s="7">
        <f t="shared" si="44"/>
        <v>109005.62000000001</v>
      </c>
      <c r="R32" s="7">
        <f t="shared" si="44"/>
        <v>114896.35220000002</v>
      </c>
      <c r="S32" s="7">
        <f t="shared" si="44"/>
        <v>121108.04808200002</v>
      </c>
      <c r="T32" s="7">
        <f t="shared" si="44"/>
        <v>127658.34145442004</v>
      </c>
      <c r="U32" s="7">
        <f t="shared" si="44"/>
        <v>134565.84295356023</v>
      </c>
      <c r="V32" s="7">
        <f t="shared" si="44"/>
        <v>141850.1945932426</v>
      </c>
      <c r="W32" s="7">
        <f t="shared" si="44"/>
        <v>149532.12738442936</v>
      </c>
      <c r="X32" s="7">
        <f t="shared" si="44"/>
        <v>157633.52219886694</v>
      </c>
      <c r="Y32" s="7">
        <f t="shared" si="44"/>
        <v>166177.47406073933</v>
      </c>
      <c r="AA32" s="10" t="str">
        <f>IF(Inputs!$J$5&gt;1,"Pre-Pri Year 1","Pre-Pri Year")</f>
        <v>Pre-Pri Year 1</v>
      </c>
      <c r="AB32" s="16" t="str">
        <f>IF(Inputs!$J$5&gt;1,"3","3-5")</f>
        <v>3</v>
      </c>
      <c r="AC32" s="57">
        <f t="shared" ref="AC32:AL32" si="45">AC22+AC27</f>
        <v>160665</v>
      </c>
      <c r="AD32" s="7">
        <f t="shared" si="45"/>
        <v>171149.44</v>
      </c>
      <c r="AE32" s="7">
        <f t="shared" si="45"/>
        <v>182322.06420000002</v>
      </c>
      <c r="AF32" s="7">
        <f t="shared" si="45"/>
        <v>194228.30189800001</v>
      </c>
      <c r="AG32" s="7">
        <f t="shared" si="45"/>
        <v>206916.59782710002</v>
      </c>
      <c r="AH32" s="7">
        <f t="shared" si="45"/>
        <v>220438.61335901145</v>
      </c>
      <c r="AI32" s="7">
        <f t="shared" si="45"/>
        <v>234849.44119919752</v>
      </c>
      <c r="AJ32" s="7">
        <f t="shared" si="45"/>
        <v>250207.83448249992</v>
      </c>
      <c r="AK32" s="7">
        <f t="shared" si="45"/>
        <v>266576.45123959507</v>
      </c>
      <c r="AL32" s="7">
        <f t="shared" si="45"/>
        <v>284022.11527028604</v>
      </c>
      <c r="AN32" s="10" t="str">
        <f>IF(Inputs!$J$5&gt;1,"Pre-Pri Year 1","Pre-Pri Year")</f>
        <v>Pre-Pri Year 1</v>
      </c>
      <c r="AO32" s="16" t="str">
        <f>IF(Inputs!$J$5&gt;1,"3","3-5")</f>
        <v>3</v>
      </c>
      <c r="AP32" s="57">
        <f t="shared" ref="AP32:AY32" si="46">AP22+AP27</f>
        <v>57031</v>
      </c>
      <c r="AQ32" s="7">
        <f t="shared" si="46"/>
        <v>58741.93</v>
      </c>
      <c r="AR32" s="7">
        <f t="shared" si="46"/>
        <v>60504.187900000004</v>
      </c>
      <c r="AS32" s="7">
        <f t="shared" si="46"/>
        <v>62319.313537000009</v>
      </c>
      <c r="AT32" s="7">
        <f t="shared" si="46"/>
        <v>64188.892943110011</v>
      </c>
      <c r="AU32" s="7">
        <f t="shared" si="46"/>
        <v>66114.559731403308</v>
      </c>
      <c r="AV32" s="7">
        <f t="shared" si="46"/>
        <v>68097.996523345413</v>
      </c>
      <c r="AW32" s="7">
        <f t="shared" si="46"/>
        <v>70140.936419045771</v>
      </c>
      <c r="AX32" s="7">
        <f t="shared" si="46"/>
        <v>72245.164511617157</v>
      </c>
      <c r="AY32" s="7">
        <f t="shared" si="46"/>
        <v>74412.519446965671</v>
      </c>
    </row>
    <row r="33" spans="1:51" x14ac:dyDescent="0.3">
      <c r="A33" s="10" t="str">
        <f>IF(Inputs!$J$5&gt;1,"Pre-Pri Year 2","")</f>
        <v>Pre-Pri Year 2</v>
      </c>
      <c r="B33" s="16" t="str">
        <f>IF(Inputs!$J$5&gt;1,"4","")</f>
        <v>4</v>
      </c>
      <c r="C33" s="57">
        <f t="shared" ref="C33:L33" si="47">C23+C28</f>
        <v>362000</v>
      </c>
      <c r="D33" s="7">
        <f t="shared" si="47"/>
        <v>291286.05</v>
      </c>
      <c r="E33" s="7">
        <f t="shared" si="47"/>
        <v>308676.80920000002</v>
      </c>
      <c r="F33" s="7">
        <f t="shared" si="47"/>
        <v>330039.74849800003</v>
      </c>
      <c r="G33" s="7">
        <f t="shared" si="47"/>
        <v>352903.83967778005</v>
      </c>
      <c r="H33" s="7">
        <f t="shared" si="47"/>
        <v>377264.30542473344</v>
      </c>
      <c r="I33" s="7">
        <f t="shared" si="47"/>
        <v>404883.3060981392</v>
      </c>
      <c r="J33" s="7">
        <f t="shared" si="47"/>
        <v>434422.98451056564</v>
      </c>
      <c r="K33" s="7">
        <f t="shared" si="47"/>
        <v>466016.19192588067</v>
      </c>
      <c r="L33" s="7">
        <f t="shared" si="47"/>
        <v>494453.65505495976</v>
      </c>
      <c r="N33" s="10" t="str">
        <f>IF(Inputs!$J$5&gt;1,"Pre-Pri Year 2","")</f>
        <v>Pre-Pri Year 2</v>
      </c>
      <c r="O33" s="16" t="str">
        <f>IF(Inputs!$J$5&gt;1,"4","")</f>
        <v>4</v>
      </c>
      <c r="P33" s="57">
        <f t="shared" ref="P33:Y33" si="48">P23+P28</f>
        <v>139996</v>
      </c>
      <c r="Q33" s="7">
        <f t="shared" si="48"/>
        <v>94185.329999999987</v>
      </c>
      <c r="R33" s="7">
        <f t="shared" si="48"/>
        <v>99863.3652</v>
      </c>
      <c r="S33" s="7">
        <f t="shared" si="48"/>
        <v>106624.70635600001</v>
      </c>
      <c r="T33" s="7">
        <f t="shared" si="48"/>
        <v>113791.64751192002</v>
      </c>
      <c r="U33" s="7">
        <f t="shared" si="48"/>
        <v>121392.10862415002</v>
      </c>
      <c r="V33" s="7">
        <f t="shared" si="48"/>
        <v>129926.15167725731</v>
      </c>
      <c r="W33" s="7">
        <f t="shared" si="48"/>
        <v>139018.55880766502</v>
      </c>
      <c r="X33" s="7">
        <f t="shared" si="48"/>
        <v>148705.22942405203</v>
      </c>
      <c r="Y33" s="7">
        <f t="shared" si="48"/>
        <v>157196.22608184189</v>
      </c>
      <c r="AA33" s="10" t="str">
        <f>IF(Inputs!$J$5&gt;1,"Pre-Pri Year 2","")</f>
        <v>Pre-Pri Year 2</v>
      </c>
      <c r="AB33" s="16" t="str">
        <f>IF(Inputs!$J$5&gt;1,"4","")</f>
        <v>4</v>
      </c>
      <c r="AC33" s="57">
        <f t="shared" ref="AC33:AL33" si="49">AC23+AC28</f>
        <v>144293</v>
      </c>
      <c r="AD33" s="7">
        <f t="shared" si="49"/>
        <v>144620.78</v>
      </c>
      <c r="AE33" s="7">
        <f t="shared" si="49"/>
        <v>155685.6102</v>
      </c>
      <c r="AF33" s="7">
        <f t="shared" si="49"/>
        <v>168071.78320000001</v>
      </c>
      <c r="AG33" s="7">
        <f t="shared" si="49"/>
        <v>181391.66789812004</v>
      </c>
      <c r="AH33" s="7">
        <f t="shared" si="49"/>
        <v>195691.26583164366</v>
      </c>
      <c r="AI33" s="7">
        <f t="shared" si="49"/>
        <v>211905.49234058964</v>
      </c>
      <c r="AJ33" s="7">
        <f t="shared" si="49"/>
        <v>229370.49148081811</v>
      </c>
      <c r="AK33" s="7">
        <f t="shared" si="49"/>
        <v>248179.11059619082</v>
      </c>
      <c r="AL33" s="7">
        <f t="shared" si="49"/>
        <v>265528.77284298284</v>
      </c>
      <c r="AN33" s="10" t="str">
        <f>IF(Inputs!$J$5&gt;1,"Pre-Pri Year 2","")</f>
        <v>Pre-Pri Year 2</v>
      </c>
      <c r="AO33" s="16" t="str">
        <f>IF(Inputs!$J$5&gt;1,"4","")</f>
        <v>4</v>
      </c>
      <c r="AP33" s="57">
        <f t="shared" ref="AP33:AY33" si="50">AP23+AP28</f>
        <v>77711</v>
      </c>
      <c r="AQ33" s="7">
        <f t="shared" si="50"/>
        <v>52479.94</v>
      </c>
      <c r="AR33" s="7">
        <f t="shared" si="50"/>
        <v>53127.8338</v>
      </c>
      <c r="AS33" s="7">
        <f t="shared" si="50"/>
        <v>55343.258942</v>
      </c>
      <c r="AT33" s="7">
        <f t="shared" si="50"/>
        <v>57720.524267740009</v>
      </c>
      <c r="AU33" s="7">
        <f t="shared" si="50"/>
        <v>60180.930968939807</v>
      </c>
      <c r="AV33" s="7">
        <f t="shared" si="50"/>
        <v>63051.662080292255</v>
      </c>
      <c r="AW33" s="7">
        <f t="shared" si="50"/>
        <v>66033.934222082549</v>
      </c>
      <c r="AX33" s="7">
        <f t="shared" si="50"/>
        <v>69131.851905637828</v>
      </c>
      <c r="AY33" s="7">
        <f t="shared" si="50"/>
        <v>71728.65613013503</v>
      </c>
    </row>
    <row r="34" spans="1:51" x14ac:dyDescent="0.3">
      <c r="A34" s="10" t="str">
        <f>IF(Inputs!$J$5&gt;2,"Pre-Pri Year 3","")</f>
        <v>Pre-Pri Year 3</v>
      </c>
      <c r="B34" s="16" t="str">
        <f>IF(Inputs!$J$5&lt;3,"","5")</f>
        <v>5</v>
      </c>
      <c r="C34" s="57">
        <f t="shared" ref="C34:L34" si="51">C24+C29</f>
        <v>373389</v>
      </c>
      <c r="D34" s="7">
        <f t="shared" si="51"/>
        <v>333762.21000000002</v>
      </c>
      <c r="E34" s="7">
        <f t="shared" si="51"/>
        <v>89965.248599999992</v>
      </c>
      <c r="F34" s="7">
        <f t="shared" si="51"/>
        <v>94170.524885999999</v>
      </c>
      <c r="G34" s="7">
        <f t="shared" si="51"/>
        <v>101666.62572216002</v>
      </c>
      <c r="H34" s="7">
        <f t="shared" si="51"/>
        <v>109781.33810814004</v>
      </c>
      <c r="I34" s="7">
        <f t="shared" si="51"/>
        <v>118455.03113131838</v>
      </c>
      <c r="J34" s="7">
        <f t="shared" si="51"/>
        <v>128620.60463324384</v>
      </c>
      <c r="K34" s="7">
        <f t="shared" si="51"/>
        <v>137910.44345199876</v>
      </c>
      <c r="L34" s="7">
        <f t="shared" si="51"/>
        <v>148705.22942405203</v>
      </c>
      <c r="N34" s="10" t="str">
        <f>IF(Inputs!$J$5&gt;2,"Pre-Pri Year 3","")</f>
        <v>Pre-Pri Year 3</v>
      </c>
      <c r="O34" s="16" t="str">
        <f>IF(Inputs!$J$5&lt;3,"","5")</f>
        <v>5</v>
      </c>
      <c r="P34" s="57">
        <f t="shared" ref="P34:Y34" si="52">P24+P29</f>
        <v>165583</v>
      </c>
      <c r="Q34" s="7">
        <f t="shared" si="52"/>
        <v>130678.87000000002</v>
      </c>
      <c r="R34" s="7">
        <f t="shared" si="52"/>
        <v>89965.248599999992</v>
      </c>
      <c r="S34" s="7">
        <f t="shared" si="52"/>
        <v>94170.524885999999</v>
      </c>
      <c r="T34" s="7">
        <f t="shared" si="52"/>
        <v>101666.62572216002</v>
      </c>
      <c r="U34" s="7">
        <f t="shared" si="52"/>
        <v>109781.33810814004</v>
      </c>
      <c r="V34" s="7">
        <f t="shared" si="52"/>
        <v>118455.03113131838</v>
      </c>
      <c r="W34" s="7">
        <f t="shared" si="52"/>
        <v>128620.60463324384</v>
      </c>
      <c r="X34" s="7">
        <f t="shared" si="52"/>
        <v>137910.44345199876</v>
      </c>
      <c r="Y34" s="7">
        <f t="shared" si="52"/>
        <v>148705.22942405203</v>
      </c>
      <c r="AA34" s="10" t="str">
        <f>IF(Inputs!$J$5&gt;2,"Pre-Pri Year 3","")</f>
        <v>Pre-Pri Year 3</v>
      </c>
      <c r="AB34" s="16" t="str">
        <f>IF(Inputs!$J$5&lt;3,"","5")</f>
        <v>5</v>
      </c>
      <c r="AC34" s="57">
        <f t="shared" ref="AC34:AL34" si="53">AC24+AC29</f>
        <v>146334</v>
      </c>
      <c r="AD34" s="7">
        <f t="shared" si="53"/>
        <v>132513.74</v>
      </c>
      <c r="AE34" s="7">
        <f t="shared" si="53"/>
        <v>0</v>
      </c>
      <c r="AF34" s="7">
        <f t="shared" si="53"/>
        <v>0</v>
      </c>
      <c r="AG34" s="7">
        <f t="shared" si="53"/>
        <v>0</v>
      </c>
      <c r="AH34" s="7">
        <f t="shared" si="53"/>
        <v>0</v>
      </c>
      <c r="AI34" s="7">
        <f t="shared" si="53"/>
        <v>0</v>
      </c>
      <c r="AJ34" s="7">
        <f t="shared" si="53"/>
        <v>0</v>
      </c>
      <c r="AK34" s="7">
        <f t="shared" si="53"/>
        <v>0</v>
      </c>
      <c r="AL34" s="7">
        <f t="shared" si="53"/>
        <v>0</v>
      </c>
      <c r="AN34" s="10" t="str">
        <f>IF(Inputs!$J$5&gt;2,"Pre-Pri Year 3","")</f>
        <v>Pre-Pri Year 3</v>
      </c>
      <c r="AO34" s="16" t="str">
        <f>IF(Inputs!$J$5&lt;3,"","5")</f>
        <v>5</v>
      </c>
      <c r="AP34" s="57">
        <f t="shared" ref="AP34:AY34" si="54">AP24+AP29</f>
        <v>61472</v>
      </c>
      <c r="AQ34" s="7">
        <f t="shared" si="54"/>
        <v>70569.600000000006</v>
      </c>
      <c r="AR34" s="7">
        <f t="shared" si="54"/>
        <v>0</v>
      </c>
      <c r="AS34" s="7">
        <f t="shared" si="54"/>
        <v>0</v>
      </c>
      <c r="AT34" s="7">
        <f t="shared" si="54"/>
        <v>0</v>
      </c>
      <c r="AU34" s="7">
        <f t="shared" si="54"/>
        <v>0</v>
      </c>
      <c r="AV34" s="7">
        <f t="shared" si="54"/>
        <v>0</v>
      </c>
      <c r="AW34" s="7">
        <f t="shared" si="54"/>
        <v>0</v>
      </c>
      <c r="AX34" s="7">
        <f t="shared" si="54"/>
        <v>0</v>
      </c>
      <c r="AY34" s="7">
        <f t="shared" si="54"/>
        <v>0</v>
      </c>
    </row>
    <row r="36" spans="1:51" x14ac:dyDescent="0.3">
      <c r="A36" s="3" t="s">
        <v>35</v>
      </c>
      <c r="N36" s="3" t="s">
        <v>37</v>
      </c>
      <c r="AA36" s="3" t="s">
        <v>158</v>
      </c>
      <c r="AN36" s="3" t="s">
        <v>36</v>
      </c>
    </row>
    <row r="38" spans="1:51" x14ac:dyDescent="0.3">
      <c r="A38" s="10" t="s">
        <v>51</v>
      </c>
      <c r="B38" s="10" t="s">
        <v>27</v>
      </c>
      <c r="C38" s="10">
        <f>Inputs!$F$5</f>
        <v>2021</v>
      </c>
      <c r="D38" s="10">
        <f>C38+1</f>
        <v>2022</v>
      </c>
      <c r="E38" s="10">
        <f t="shared" ref="E38:L38" si="55">D38+1</f>
        <v>2023</v>
      </c>
      <c r="F38" s="10">
        <f t="shared" si="55"/>
        <v>2024</v>
      </c>
      <c r="G38" s="10">
        <f t="shared" si="55"/>
        <v>2025</v>
      </c>
      <c r="H38" s="10">
        <f t="shared" si="55"/>
        <v>2026</v>
      </c>
      <c r="I38" s="10">
        <f t="shared" si="55"/>
        <v>2027</v>
      </c>
      <c r="J38" s="10">
        <f t="shared" si="55"/>
        <v>2028</v>
      </c>
      <c r="K38" s="10">
        <f t="shared" si="55"/>
        <v>2029</v>
      </c>
      <c r="L38" s="10">
        <f t="shared" si="55"/>
        <v>2030</v>
      </c>
      <c r="N38" s="10" t="s">
        <v>51</v>
      </c>
      <c r="O38" s="10" t="s">
        <v>27</v>
      </c>
      <c r="P38" s="10">
        <f>Inputs!$F$5</f>
        <v>2021</v>
      </c>
      <c r="Q38" s="10">
        <f>P38+1</f>
        <v>2022</v>
      </c>
      <c r="R38" s="10">
        <f t="shared" ref="R38:Y38" si="56">Q38+1</f>
        <v>2023</v>
      </c>
      <c r="S38" s="10">
        <f t="shared" si="56"/>
        <v>2024</v>
      </c>
      <c r="T38" s="10">
        <f t="shared" si="56"/>
        <v>2025</v>
      </c>
      <c r="U38" s="10">
        <f t="shared" si="56"/>
        <v>2026</v>
      </c>
      <c r="V38" s="10">
        <f t="shared" si="56"/>
        <v>2027</v>
      </c>
      <c r="W38" s="10">
        <f t="shared" si="56"/>
        <v>2028</v>
      </c>
      <c r="X38" s="10">
        <f t="shared" si="56"/>
        <v>2029</v>
      </c>
      <c r="Y38" s="10">
        <f t="shared" si="56"/>
        <v>2030</v>
      </c>
      <c r="AA38" s="10" t="s">
        <v>51</v>
      </c>
      <c r="AB38" s="10" t="s">
        <v>27</v>
      </c>
      <c r="AC38" s="10">
        <f>Inputs!$F$5</f>
        <v>2021</v>
      </c>
      <c r="AD38" s="10">
        <f>AC38+1</f>
        <v>2022</v>
      </c>
      <c r="AE38" s="10">
        <f t="shared" ref="AE38:AL38" si="57">AD38+1</f>
        <v>2023</v>
      </c>
      <c r="AF38" s="10">
        <f t="shared" si="57"/>
        <v>2024</v>
      </c>
      <c r="AG38" s="10">
        <f t="shared" si="57"/>
        <v>2025</v>
      </c>
      <c r="AH38" s="10">
        <f t="shared" si="57"/>
        <v>2026</v>
      </c>
      <c r="AI38" s="10">
        <f t="shared" si="57"/>
        <v>2027</v>
      </c>
      <c r="AJ38" s="10">
        <f t="shared" si="57"/>
        <v>2028</v>
      </c>
      <c r="AK38" s="10">
        <f t="shared" si="57"/>
        <v>2029</v>
      </c>
      <c r="AL38" s="10">
        <f t="shared" si="57"/>
        <v>2030</v>
      </c>
      <c r="AN38" s="10" t="s">
        <v>51</v>
      </c>
      <c r="AO38" s="10" t="s">
        <v>27</v>
      </c>
      <c r="AP38" s="10">
        <f>Inputs!$F$5</f>
        <v>2021</v>
      </c>
      <c r="AQ38" s="10">
        <f>AP38+1</f>
        <v>2022</v>
      </c>
      <c r="AR38" s="10">
        <f t="shared" ref="AR38:AY38" si="58">AQ38+1</f>
        <v>2023</v>
      </c>
      <c r="AS38" s="10">
        <f t="shared" si="58"/>
        <v>2024</v>
      </c>
      <c r="AT38" s="10">
        <f t="shared" si="58"/>
        <v>2025</v>
      </c>
      <c r="AU38" s="10">
        <f t="shared" si="58"/>
        <v>2026</v>
      </c>
      <c r="AV38" s="10">
        <f t="shared" si="58"/>
        <v>2027</v>
      </c>
      <c r="AW38" s="10">
        <f t="shared" si="58"/>
        <v>2028</v>
      </c>
      <c r="AX38" s="10">
        <f t="shared" si="58"/>
        <v>2029</v>
      </c>
      <c r="AY38" s="10">
        <f t="shared" si="58"/>
        <v>2030</v>
      </c>
    </row>
    <row r="39" spans="1:51" x14ac:dyDescent="0.3">
      <c r="A39" s="10" t="s">
        <v>13</v>
      </c>
      <c r="B39" s="16">
        <v>3</v>
      </c>
      <c r="C39" s="57" t="s">
        <v>34</v>
      </c>
      <c r="D39" s="7" t="s">
        <v>34</v>
      </c>
      <c r="E39" s="7" t="s">
        <v>34</v>
      </c>
      <c r="F39" s="7" t="s">
        <v>34</v>
      </c>
      <c r="G39" s="7" t="s">
        <v>34</v>
      </c>
      <c r="H39" s="7" t="s">
        <v>34</v>
      </c>
      <c r="I39" s="7" t="s">
        <v>34</v>
      </c>
      <c r="J39" s="7" t="s">
        <v>34</v>
      </c>
      <c r="K39" s="7" t="s">
        <v>34</v>
      </c>
      <c r="L39" s="7" t="s">
        <v>34</v>
      </c>
      <c r="N39" s="10" t="s">
        <v>13</v>
      </c>
      <c r="O39" s="16">
        <v>3</v>
      </c>
      <c r="P39" s="57" t="s">
        <v>34</v>
      </c>
      <c r="Q39" s="89">
        <v>0.1</v>
      </c>
      <c r="R39" s="89">
        <v>0.05</v>
      </c>
      <c r="S39" s="89">
        <v>0.05</v>
      </c>
      <c r="T39" s="89">
        <v>0.05</v>
      </c>
      <c r="U39" s="89">
        <v>0.05</v>
      </c>
      <c r="V39" s="89">
        <v>0.05</v>
      </c>
      <c r="W39" s="89">
        <v>0.05</v>
      </c>
      <c r="X39" s="89">
        <v>0.05</v>
      </c>
      <c r="Y39" s="89">
        <v>0.05</v>
      </c>
      <c r="AA39" s="10" t="s">
        <v>13</v>
      </c>
      <c r="AB39" s="16">
        <v>3</v>
      </c>
      <c r="AC39" s="57" t="s">
        <v>34</v>
      </c>
      <c r="AD39" s="89">
        <v>7.0000000000000007E-2</v>
      </c>
      <c r="AE39" s="89">
        <v>7.0000000000000007E-2</v>
      </c>
      <c r="AF39" s="89">
        <v>7.0000000000000007E-2</v>
      </c>
      <c r="AG39" s="89">
        <v>7.0000000000000007E-2</v>
      </c>
      <c r="AH39" s="89">
        <v>7.0000000000000007E-2</v>
      </c>
      <c r="AI39" s="89">
        <v>7.0000000000000007E-2</v>
      </c>
      <c r="AJ39" s="89">
        <v>7.0000000000000007E-2</v>
      </c>
      <c r="AK39" s="89">
        <v>7.0000000000000007E-2</v>
      </c>
      <c r="AL39" s="89">
        <v>7.0000000000000007E-2</v>
      </c>
      <c r="AN39" s="10" t="s">
        <v>13</v>
      </c>
      <c r="AO39" s="16">
        <v>3</v>
      </c>
      <c r="AP39" s="57" t="s">
        <v>34</v>
      </c>
      <c r="AQ39" s="89">
        <v>0.03</v>
      </c>
      <c r="AR39" s="89">
        <v>0.03</v>
      </c>
      <c r="AS39" s="89">
        <v>0.03</v>
      </c>
      <c r="AT39" s="89">
        <v>0.03</v>
      </c>
      <c r="AU39" s="89">
        <v>0.03</v>
      </c>
      <c r="AV39" s="89">
        <v>0.03</v>
      </c>
      <c r="AW39" s="89">
        <v>0.03</v>
      </c>
      <c r="AX39" s="89">
        <v>0.03</v>
      </c>
      <c r="AY39" s="89">
        <v>0.03</v>
      </c>
    </row>
    <row r="40" spans="1:51" x14ac:dyDescent="0.3">
      <c r="A40" s="10" t="s">
        <v>14</v>
      </c>
      <c r="B40" s="16">
        <v>3</v>
      </c>
      <c r="C40" s="57" t="s">
        <v>34</v>
      </c>
      <c r="D40" s="7" t="s">
        <v>34</v>
      </c>
      <c r="E40" s="7" t="s">
        <v>34</v>
      </c>
      <c r="F40" s="7" t="s">
        <v>34</v>
      </c>
      <c r="G40" s="7" t="s">
        <v>34</v>
      </c>
      <c r="H40" s="7" t="s">
        <v>34</v>
      </c>
      <c r="I40" s="7" t="s">
        <v>34</v>
      </c>
      <c r="J40" s="7" t="s">
        <v>34</v>
      </c>
      <c r="K40" s="7" t="s">
        <v>34</v>
      </c>
      <c r="L40" s="7" t="s">
        <v>34</v>
      </c>
      <c r="N40" s="10" t="s">
        <v>14</v>
      </c>
      <c r="O40" s="16">
        <v>3</v>
      </c>
      <c r="P40" s="57" t="s">
        <v>34</v>
      </c>
      <c r="Q40" s="89">
        <v>0.06</v>
      </c>
      <c r="R40" s="89">
        <v>0.06</v>
      </c>
      <c r="S40" s="89">
        <v>0.06</v>
      </c>
      <c r="T40" s="89">
        <v>0.06</v>
      </c>
      <c r="U40" s="89">
        <v>0.06</v>
      </c>
      <c r="V40" s="89">
        <v>0.06</v>
      </c>
      <c r="W40" s="89">
        <v>0.06</v>
      </c>
      <c r="X40" s="89">
        <v>0.06</v>
      </c>
      <c r="Y40" s="89">
        <v>0.06</v>
      </c>
      <c r="AA40" s="10" t="s">
        <v>14</v>
      </c>
      <c r="AB40" s="16">
        <v>3</v>
      </c>
      <c r="AC40" s="57" t="s">
        <v>34</v>
      </c>
      <c r="AD40" s="89">
        <v>0.06</v>
      </c>
      <c r="AE40" s="89">
        <v>0.06</v>
      </c>
      <c r="AF40" s="89">
        <v>0.06</v>
      </c>
      <c r="AG40" s="89">
        <v>0.06</v>
      </c>
      <c r="AH40" s="89">
        <v>0.06</v>
      </c>
      <c r="AI40" s="89">
        <v>0.06</v>
      </c>
      <c r="AJ40" s="89">
        <v>0.06</v>
      </c>
      <c r="AK40" s="89">
        <v>0.06</v>
      </c>
      <c r="AL40" s="89">
        <v>0.06</v>
      </c>
      <c r="AN40" s="10" t="s">
        <v>14</v>
      </c>
      <c r="AO40" s="16">
        <v>3</v>
      </c>
      <c r="AP40" s="57" t="s">
        <v>34</v>
      </c>
      <c r="AQ40" s="89">
        <v>0.03</v>
      </c>
      <c r="AR40" s="89">
        <v>0.03</v>
      </c>
      <c r="AS40" s="89">
        <v>0.03</v>
      </c>
      <c r="AT40" s="89">
        <v>0.03</v>
      </c>
      <c r="AU40" s="89">
        <v>0.03</v>
      </c>
      <c r="AV40" s="89">
        <v>0.03</v>
      </c>
      <c r="AW40" s="89">
        <v>0.03</v>
      </c>
      <c r="AX40" s="89">
        <v>0.03</v>
      </c>
      <c r="AY40" s="89">
        <v>0.03</v>
      </c>
    </row>
    <row r="41" spans="1:51" x14ac:dyDescent="0.3">
      <c r="N41" s="1"/>
      <c r="O41" s="5"/>
      <c r="P41" s="5"/>
    </row>
    <row r="42" spans="1:51" x14ac:dyDescent="0.3">
      <c r="A42" s="3" t="s">
        <v>113</v>
      </c>
    </row>
    <row r="44" spans="1:51" x14ac:dyDescent="0.3">
      <c r="A44" s="10" t="s">
        <v>51</v>
      </c>
      <c r="B44" s="10" t="s">
        <v>27</v>
      </c>
      <c r="C44" s="10">
        <f>Inputs!$F$5</f>
        <v>2021</v>
      </c>
      <c r="D44" s="10">
        <f>C44+1</f>
        <v>2022</v>
      </c>
      <c r="E44" s="10">
        <f t="shared" ref="E44:L44" si="59">D44+1</f>
        <v>2023</v>
      </c>
      <c r="F44" s="10">
        <f t="shared" si="59"/>
        <v>2024</v>
      </c>
      <c r="G44" s="10">
        <f t="shared" si="59"/>
        <v>2025</v>
      </c>
      <c r="H44" s="10">
        <f t="shared" si="59"/>
        <v>2026</v>
      </c>
      <c r="I44" s="10">
        <f t="shared" si="59"/>
        <v>2027</v>
      </c>
      <c r="J44" s="10">
        <f t="shared" si="59"/>
        <v>2028</v>
      </c>
      <c r="K44" s="10">
        <f t="shared" si="59"/>
        <v>2029</v>
      </c>
      <c r="L44" s="10">
        <f t="shared" si="59"/>
        <v>2030</v>
      </c>
    </row>
    <row r="45" spans="1:51" x14ac:dyDescent="0.3">
      <c r="A45" s="10" t="s">
        <v>13</v>
      </c>
      <c r="B45" s="18" t="s">
        <v>49</v>
      </c>
      <c r="C45" s="59">
        <f>SUM(P22:P24)/SUM(C22:C24)</f>
        <v>0.41833543092470266</v>
      </c>
      <c r="D45" s="14">
        <f>SUM(Q22:Q24)/SUM(D22:D24)</f>
        <v>0.37800181807784439</v>
      </c>
      <c r="E45" s="14">
        <f t="shared" ref="E45:L45" si="60">SUM(R22:R24)/SUM(E22:E24)</f>
        <v>0.44427408390241974</v>
      </c>
      <c r="F45" s="14">
        <f t="shared" si="60"/>
        <v>0.44227292524464673</v>
      </c>
      <c r="G45" s="14">
        <f t="shared" si="60"/>
        <v>0.44095814171425529</v>
      </c>
      <c r="H45" s="14">
        <f t="shared" si="60"/>
        <v>0.43953889672763369</v>
      </c>
      <c r="I45" s="14">
        <f t="shared" si="60"/>
        <v>0.4380300164516277</v>
      </c>
      <c r="J45" s="14">
        <f t="shared" si="60"/>
        <v>0.43643791496826317</v>
      </c>
      <c r="K45" s="14">
        <f t="shared" si="60"/>
        <v>0.43321273942214278</v>
      </c>
      <c r="L45" s="14">
        <f t="shared" si="60"/>
        <v>0.4313954480338183</v>
      </c>
    </row>
    <row r="46" spans="1:51" x14ac:dyDescent="0.3">
      <c r="A46" s="10" t="s">
        <v>14</v>
      </c>
      <c r="B46" s="18" t="s">
        <v>49</v>
      </c>
      <c r="C46" s="59">
        <f>SUM(P27:P29)/SUM(C27:C29)</f>
        <v>0.35133419027117435</v>
      </c>
      <c r="D46" s="14">
        <f>SUM(Q27:Q29)/SUM(D27:D29)</f>
        <v>0.31016481441631993</v>
      </c>
      <c r="E46" s="14">
        <f t="shared" ref="E46:L46" si="61">SUM(R27:R29)/SUM(E27:E29)</f>
        <v>0.35154389191406082</v>
      </c>
      <c r="F46" s="14">
        <f t="shared" si="61"/>
        <v>0.35044438771086706</v>
      </c>
      <c r="G46" s="14">
        <f t="shared" si="61"/>
        <v>0.35343080429910984</v>
      </c>
      <c r="H46" s="14">
        <f t="shared" si="61"/>
        <v>0.35654545151819184</v>
      </c>
      <c r="I46" s="14">
        <f t="shared" si="61"/>
        <v>0.35931607163175128</v>
      </c>
      <c r="J46" s="14">
        <f t="shared" si="61"/>
        <v>0.36326870730759825</v>
      </c>
      <c r="K46" s="14">
        <f t="shared" si="61"/>
        <v>0.36719956797513831</v>
      </c>
      <c r="L46" s="14">
        <f t="shared" si="61"/>
        <v>0.37110755268436901</v>
      </c>
    </row>
    <row r="47" spans="1:51" x14ac:dyDescent="0.3">
      <c r="A47" s="10" t="s">
        <v>18</v>
      </c>
      <c r="B47" s="18" t="s">
        <v>49</v>
      </c>
      <c r="C47" s="59">
        <f>SUM(P32:P34)/SUM(C32:C34)</f>
        <v>0.38548835902711609</v>
      </c>
      <c r="D47" s="14">
        <f>SUM(Q32:Q34)/SUM(D32:D34)</f>
        <v>0.34635765879856772</v>
      </c>
      <c r="E47" s="14">
        <f t="shared" ref="E47:L47" si="62">SUM(R32:R34)/SUM(E32:E34)</f>
        <v>0.40288101926119851</v>
      </c>
      <c r="F47" s="14">
        <f t="shared" si="62"/>
        <v>0.40144276556760983</v>
      </c>
      <c r="G47" s="14">
        <f t="shared" si="62"/>
        <v>0.40208932846556744</v>
      </c>
      <c r="H47" s="14">
        <f t="shared" si="62"/>
        <v>0.40272354338943706</v>
      </c>
      <c r="I47" s="14">
        <f t="shared" si="62"/>
        <v>0.4030749705386108</v>
      </c>
      <c r="J47" s="14">
        <f t="shared" si="62"/>
        <v>0.40387394809796917</v>
      </c>
      <c r="K47" s="14">
        <f t="shared" si="62"/>
        <v>0.40372278589397664</v>
      </c>
      <c r="L47" s="14">
        <f t="shared" si="62"/>
        <v>0.40425642723833122</v>
      </c>
    </row>
  </sheetData>
  <sheetProtection algorithmName="SHA-512" hashValue="CS/HvEDwbj2hG3QGWa+QtPxAHeCu3hUu18v66lKI3pm2z5NBLGrmPBIySbmKZyGvM6TQ/5F54sjH2JCudVY2LQ==" saltValue="hoKJGjIVP7KqZFuFsrtchQ==" spinCount="100000" sheet="1" objects="1" scenarios="1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4F51-4339-4E58-8AC0-329ACD2E578D}">
  <dimension ref="A1:Q132"/>
  <sheetViews>
    <sheetView workbookViewId="0">
      <selection activeCell="F1" sqref="F1"/>
    </sheetView>
  </sheetViews>
  <sheetFormatPr defaultRowHeight="14.4" x14ac:dyDescent="0.3"/>
  <cols>
    <col min="1" max="1" width="17.33203125" customWidth="1"/>
    <col min="2" max="2" width="9.109375" customWidth="1"/>
    <col min="3" max="3" width="11.44140625" bestFit="1" customWidth="1"/>
    <col min="14" max="14" width="7.5546875" bestFit="1" customWidth="1"/>
    <col min="15" max="15" width="18.109375" bestFit="1" customWidth="1"/>
    <col min="16" max="16" width="5.33203125" style="1" customWidth="1"/>
    <col min="17" max="17" width="13.109375" bestFit="1" customWidth="1"/>
  </cols>
  <sheetData>
    <row r="1" spans="1:12" x14ac:dyDescent="0.3">
      <c r="A1" s="48" t="s">
        <v>201</v>
      </c>
      <c r="B1" s="2"/>
    </row>
    <row r="3" spans="1:12" x14ac:dyDescent="0.3">
      <c r="A3" s="62" t="s">
        <v>246</v>
      </c>
    </row>
    <row r="5" spans="1:12" x14ac:dyDescent="0.3">
      <c r="A5" s="3" t="s">
        <v>37</v>
      </c>
      <c r="B5" s="3"/>
    </row>
    <row r="7" spans="1:12" x14ac:dyDescent="0.3">
      <c r="A7" s="10" t="s">
        <v>22</v>
      </c>
      <c r="B7" s="10" t="s">
        <v>27</v>
      </c>
      <c r="C7" s="10">
        <f>Inputs!$F$5</f>
        <v>2021</v>
      </c>
      <c r="D7" s="10">
        <f>C7+1</f>
        <v>2022</v>
      </c>
      <c r="E7" s="10">
        <f t="shared" ref="E7:L7" si="0">D7+1</f>
        <v>2023</v>
      </c>
      <c r="F7" s="10">
        <f t="shared" si="0"/>
        <v>2024</v>
      </c>
      <c r="G7" s="10">
        <f t="shared" si="0"/>
        <v>2025</v>
      </c>
      <c r="H7" s="10">
        <f t="shared" si="0"/>
        <v>2026</v>
      </c>
      <c r="I7" s="10">
        <f t="shared" si="0"/>
        <v>2027</v>
      </c>
      <c r="J7" s="10">
        <f t="shared" si="0"/>
        <v>2028</v>
      </c>
      <c r="K7" s="10">
        <f t="shared" si="0"/>
        <v>2029</v>
      </c>
      <c r="L7" s="10">
        <f t="shared" si="0"/>
        <v>2030</v>
      </c>
    </row>
    <row r="8" spans="1:12" x14ac:dyDescent="0.3">
      <c r="A8" s="10" t="str">
        <f>IF(Inputs!$J$5&gt;1,"Pre-Pri Year 1","Pre-Pri Year")</f>
        <v>Pre-Pri Year 1</v>
      </c>
      <c r="B8" s="16" t="str">
        <f>IF(Inputs!$J$5&gt;1,"3","3-5")</f>
        <v>3</v>
      </c>
      <c r="C8" s="57" t="s">
        <v>34</v>
      </c>
      <c r="D8" s="7">
        <f>IF((Enrolment!Q22-Enrolment!P22)&gt;0,(Enrolment!Q22-Enrolment!P22),"0")</f>
        <v>5905.5000000000073</v>
      </c>
      <c r="E8" s="7">
        <f>IF((Enrolment!R22-Enrolment!Q22)&gt;0,(Enrolment!R22-Enrolment!Q22),"0")</f>
        <v>3248.0250000000015</v>
      </c>
      <c r="F8" s="7">
        <f>IF((Enrolment!S22-Enrolment!R22)&gt;0,(Enrolment!S22-Enrolment!R22),"0")</f>
        <v>3410.4262500000041</v>
      </c>
      <c r="G8" s="7">
        <f>IF((Enrolment!T22-Enrolment!S22)&gt;0,(Enrolment!T22-Enrolment!S22),"0")</f>
        <v>3580.947562500005</v>
      </c>
      <c r="H8" s="7">
        <f>IF((Enrolment!U22-Enrolment!T22)&gt;0,(Enrolment!U22-Enrolment!T22),"0")</f>
        <v>3759.9949406250089</v>
      </c>
      <c r="I8" s="7">
        <f>IF((Enrolment!V22-Enrolment!U22)&gt;0,(Enrolment!V22-Enrolment!U22),"0")</f>
        <v>3947.9946876562608</v>
      </c>
      <c r="J8" s="7">
        <f>IF((Enrolment!W22-Enrolment!V22)&gt;0,(Enrolment!W22-Enrolment!V22),"0")</f>
        <v>4145.3944220390695</v>
      </c>
      <c r="K8" s="7">
        <f>IF((Enrolment!X22-Enrolment!W22)&gt;0,(Enrolment!X22-Enrolment!W22),"0")</f>
        <v>4352.6641431410244</v>
      </c>
      <c r="L8" s="7">
        <f>IF((Enrolment!Y22-Enrolment!X22)&gt;0,(Enrolment!Y22-Enrolment!X22),"0")</f>
        <v>4570.2973502980749</v>
      </c>
    </row>
    <row r="9" spans="1:12" x14ac:dyDescent="0.3">
      <c r="A9" s="10" t="str">
        <f>IF(Inputs!$J$5&gt;1,"Pre-Pri Year 2","")</f>
        <v>Pre-Pri Year 2</v>
      </c>
      <c r="B9" s="16" t="str">
        <f>IF(Inputs!$J$5&gt;1,"4","")</f>
        <v>4</v>
      </c>
      <c r="C9" s="57" t="s">
        <v>34</v>
      </c>
      <c r="D9" s="7" t="str">
        <f>IF((Enrolment!Q23-Enrolment!P23)&gt;0,(Enrolment!Q23-Enrolment!P23),"0")</f>
        <v>0</v>
      </c>
      <c r="E9" s="7">
        <f>IF((Enrolment!R23-Enrolment!Q23)&gt;0,(Enrolment!R23-Enrolment!Q23),"0")</f>
        <v>4271.41320000001</v>
      </c>
      <c r="F9" s="7">
        <f>IF((Enrolment!S23-Enrolment!R23)&gt;0,(Enrolment!S23-Enrolment!R23),"0")</f>
        <v>3946.4985240000096</v>
      </c>
      <c r="G9" s="7">
        <f>IF((Enrolment!T23-Enrolment!S23)&gt;0,(Enrolment!T23-Enrolment!S23),"0")</f>
        <v>4120.9055294400023</v>
      </c>
      <c r="H9" s="7">
        <f>IF((Enrolment!U23-Enrolment!T23)&gt;0,(Enrolment!U23-Enrolment!T23),"0")</f>
        <v>4347.4029929819953</v>
      </c>
      <c r="I9" s="7">
        <f>IF((Enrolment!V23-Enrolment!U23)&gt;0,(Enrolment!V23-Enrolment!U23),"0")</f>
        <v>4589.1681664349017</v>
      </c>
      <c r="J9" s="7">
        <f>IF((Enrolment!W23-Enrolment!V23)&gt;0,(Enrolment!W23-Enrolment!V23),"0")</f>
        <v>4844.1126114944636</v>
      </c>
      <c r="K9" s="7">
        <f>IF((Enrolment!X23-Enrolment!W23)&gt;0,(Enrolment!X23-Enrolment!W23),"0")</f>
        <v>5112.7476589560101</v>
      </c>
      <c r="L9" s="7">
        <f>IF((Enrolment!Y23-Enrolment!X23)&gt;0,(Enrolment!Y23-Enrolment!X23),"0")</f>
        <v>3567.6637094870675</v>
      </c>
    </row>
    <row r="10" spans="1:12" x14ac:dyDescent="0.3">
      <c r="A10" s="10" t="str">
        <f>IF(Inputs!$J$5&gt;2,"Pre-Pri Year 3","")</f>
        <v>Pre-Pri Year 3</v>
      </c>
      <c r="B10" s="16" t="str">
        <f>IF(Inputs!$J$5&lt;3,"","5")</f>
        <v>5</v>
      </c>
      <c r="C10" s="57" t="s">
        <v>34</v>
      </c>
      <c r="D10" s="7" t="str">
        <f>IF((Enrolment!Q24-Enrolment!P24)&gt;0,(Enrolment!Q24-Enrolment!P24),"0")</f>
        <v>0</v>
      </c>
      <c r="E10" s="7" t="str">
        <f>IF((Enrolment!R24-Enrolment!Q24)&gt;0,(Enrolment!R24-Enrolment!Q24),"0")</f>
        <v>0</v>
      </c>
      <c r="F10" s="7">
        <f>IF((Enrolment!S24-Enrolment!R24)&gt;0,(Enrolment!S24-Enrolment!R24),"0")</f>
        <v>3565.6755540000086</v>
      </c>
      <c r="G10" s="7">
        <f>IF((Enrolment!T24-Enrolment!S24)&gt;0,(Enrolment!T24-Enrolment!S24),"0")</f>
        <v>4527.0207367200128</v>
      </c>
      <c r="H10" s="7">
        <f>IF((Enrolment!U24-Enrolment!T24)&gt;0,(Enrolment!U24-Enrolment!T24),"0")</f>
        <v>4809.8382473040037</v>
      </c>
      <c r="I10" s="7">
        <f>IF((Enrolment!V24-Enrolment!U24)&gt;0,(Enrolment!V24-Enrolment!U24),"0")</f>
        <v>5111.7579182300251</v>
      </c>
      <c r="J10" s="7">
        <f>IF((Enrolment!W24-Enrolment!V24)&gt;0,(Enrolment!W24-Enrolment!V24),"0")</f>
        <v>5434.2416431654128</v>
      </c>
      <c r="K10" s="7">
        <f>IF((Enrolment!X24-Enrolment!W24)&gt;0,(Enrolment!X24-Enrolment!W24),"0")</f>
        <v>4103.3607249319175</v>
      </c>
      <c r="L10" s="7">
        <f>IF((Enrolment!Y24-Enrolment!X24)&gt;0,(Enrolment!Y24-Enrolment!X24),"0")</f>
        <v>5112.7476589560101</v>
      </c>
    </row>
    <row r="12" spans="1:12" x14ac:dyDescent="0.3">
      <c r="A12" s="10" t="s">
        <v>23</v>
      </c>
      <c r="B12" s="10" t="s">
        <v>27</v>
      </c>
      <c r="C12" s="10">
        <f>Inputs!$F$5</f>
        <v>2021</v>
      </c>
      <c r="D12" s="10">
        <f>C12+1</f>
        <v>2022</v>
      </c>
      <c r="E12" s="10">
        <f t="shared" ref="E12:L12" si="1">D12+1</f>
        <v>2023</v>
      </c>
      <c r="F12" s="10">
        <f t="shared" si="1"/>
        <v>2024</v>
      </c>
      <c r="G12" s="10">
        <f t="shared" si="1"/>
        <v>2025</v>
      </c>
      <c r="H12" s="10">
        <f t="shared" si="1"/>
        <v>2026</v>
      </c>
      <c r="I12" s="10">
        <f t="shared" si="1"/>
        <v>2027</v>
      </c>
      <c r="J12" s="10">
        <f t="shared" si="1"/>
        <v>2028</v>
      </c>
      <c r="K12" s="10">
        <f t="shared" si="1"/>
        <v>2029</v>
      </c>
      <c r="L12" s="10">
        <f t="shared" si="1"/>
        <v>2030</v>
      </c>
    </row>
    <row r="13" spans="1:12" x14ac:dyDescent="0.3">
      <c r="A13" s="10" t="str">
        <f>IF(Inputs!$J$5&gt;1,"Pre-Pri Year 1","Pre-Pri Year")</f>
        <v>Pre-Pri Year 1</v>
      </c>
      <c r="B13" s="16" t="str">
        <f>IF(Inputs!$J$5&gt;1,"3","3-5")</f>
        <v>3</v>
      </c>
      <c r="C13" s="57" t="s">
        <v>34</v>
      </c>
      <c r="D13" s="7">
        <f>IF((Enrolment!Q27-Enrolment!P27)&gt;0,(Enrolment!Q27-Enrolment!P27),"0")</f>
        <v>2493.1200000000026</v>
      </c>
      <c r="E13" s="7">
        <f>IF((Enrolment!R27-Enrolment!Q27)&gt;0,(Enrolment!R27-Enrolment!Q27),"0")</f>
        <v>2642.7072000000044</v>
      </c>
      <c r="F13" s="7">
        <f>IF((Enrolment!S27-Enrolment!R27)&gt;0,(Enrolment!S27-Enrolment!R27),"0")</f>
        <v>2801.2696320000032</v>
      </c>
      <c r="G13" s="7">
        <f>IF((Enrolment!T27-Enrolment!S27)&gt;0,(Enrolment!T27-Enrolment!S27),"0")</f>
        <v>2969.3458099199997</v>
      </c>
      <c r="H13" s="7">
        <f>IF((Enrolment!U27-Enrolment!T27)&gt;0,(Enrolment!U27-Enrolment!T27),"0")</f>
        <v>3147.5065585152042</v>
      </c>
      <c r="I13" s="7">
        <f>IF((Enrolment!V27-Enrolment!U27)&gt;0,(Enrolment!V27-Enrolment!U27),"0")</f>
        <v>3336.3569520261153</v>
      </c>
      <c r="J13" s="7">
        <f>IF((Enrolment!W27-Enrolment!V27)&gt;0,(Enrolment!W27-Enrolment!V27),"0")</f>
        <v>3536.5383691476818</v>
      </c>
      <c r="K13" s="7">
        <f>IF((Enrolment!X27-Enrolment!W27)&gt;0,(Enrolment!X27-Enrolment!W27),"0")</f>
        <v>3748.7306712965437</v>
      </c>
      <c r="L13" s="7">
        <f>IF((Enrolment!Y27-Enrolment!X27)&gt;0,(Enrolment!Y27-Enrolment!X27),"0")</f>
        <v>3973.6545115743356</v>
      </c>
    </row>
    <row r="14" spans="1:12" x14ac:dyDescent="0.3">
      <c r="A14" s="10" t="str">
        <f>IF(Inputs!$J$5&gt;1,"Pre-Pri Year 2","")</f>
        <v>Pre-Pri Year 2</v>
      </c>
      <c r="B14" s="16" t="str">
        <f>IF(Inputs!$J$5&gt;1,"4","")</f>
        <v>4</v>
      </c>
      <c r="C14" s="57" t="s">
        <v>34</v>
      </c>
      <c r="D14" s="7" t="str">
        <f>IF((Enrolment!Q28-Enrolment!P28)&gt;0,(Enrolment!Q28-Enrolment!P28),"0")</f>
        <v>0</v>
      </c>
      <c r="E14" s="7">
        <f>IF((Enrolment!R28-Enrolment!Q28)&gt;0,(Enrolment!R28-Enrolment!Q28),"0")</f>
        <v>1406.622000000003</v>
      </c>
      <c r="F14" s="7">
        <f>IF((Enrolment!S28-Enrolment!R28)&gt;0,(Enrolment!S28-Enrolment!R28),"0")</f>
        <v>2814.8426319999999</v>
      </c>
      <c r="G14" s="7">
        <f>IF((Enrolment!T28-Enrolment!S28)&gt;0,(Enrolment!T28-Enrolment!S28),"0")</f>
        <v>3046.0356264800066</v>
      </c>
      <c r="H14" s="7">
        <f>IF((Enrolment!U28-Enrolment!T28)&gt;0,(Enrolment!U28-Enrolment!T28),"0")</f>
        <v>3253.0581192480022</v>
      </c>
      <c r="I14" s="7">
        <f>IF((Enrolment!V28-Enrolment!U28)&gt;0,(Enrolment!V28-Enrolment!U28),"0")</f>
        <v>3944.8748866723836</v>
      </c>
      <c r="J14" s="7">
        <f>IF((Enrolment!W28-Enrolment!V28)&gt;0,(Enrolment!W28-Enrolment!V28),"0")</f>
        <v>4248.2945189132515</v>
      </c>
      <c r="K14" s="7">
        <f>IF((Enrolment!X28-Enrolment!W28)&gt;0,(Enrolment!X28-Enrolment!W28),"0")</f>
        <v>4573.9229574310011</v>
      </c>
      <c r="L14" s="7">
        <f>IF((Enrolment!Y28-Enrolment!X28)&gt;0,(Enrolment!Y28-Enrolment!X28),"0")</f>
        <v>4923.3329483027919</v>
      </c>
    </row>
    <row r="15" spans="1:12" x14ac:dyDescent="0.3">
      <c r="A15" s="10" t="str">
        <f>IF(Inputs!$J$5&gt;2,"Pre-Pri Year 3","")</f>
        <v>Pre-Pri Year 3</v>
      </c>
      <c r="B15" s="16" t="str">
        <f>IF(Inputs!$J$5&lt;3,"","5")</f>
        <v>5</v>
      </c>
      <c r="C15" s="57" t="s">
        <v>34</v>
      </c>
      <c r="D15" s="7" t="str">
        <f>IF((Enrolment!Q29-Enrolment!P29)&gt;0,(Enrolment!Q29-Enrolment!P29),"0")</f>
        <v>0</v>
      </c>
      <c r="E15" s="7" t="str">
        <f>IF((Enrolment!R29-Enrolment!Q29)&gt;0,(Enrolment!R29-Enrolment!Q29),"0")</f>
        <v>0</v>
      </c>
      <c r="F15" s="7">
        <f>IF((Enrolment!S29-Enrolment!R29)&gt;0,(Enrolment!S29-Enrolment!R29),"0")</f>
        <v>639.60073199999897</v>
      </c>
      <c r="G15" s="7">
        <f>IF((Enrolment!T29-Enrolment!S29)&gt;0,(Enrolment!T29-Enrolment!S29),"0")</f>
        <v>2969.0800994400051</v>
      </c>
      <c r="H15" s="7">
        <f>IF((Enrolment!U29-Enrolment!T29)&gt;0,(Enrolment!U29-Enrolment!T29),"0")</f>
        <v>3304.8741386760084</v>
      </c>
      <c r="I15" s="7">
        <f>IF((Enrolment!V29-Enrolment!U29)&gt;0,(Enrolment!V29-Enrolment!U29),"0")</f>
        <v>3561.9351049483157</v>
      </c>
      <c r="J15" s="7">
        <f>IF((Enrolment!W29-Enrolment!V29)&gt;0,(Enrolment!W29-Enrolment!V29),"0")</f>
        <v>4731.3318587600443</v>
      </c>
      <c r="K15" s="7">
        <f>IF((Enrolment!X29-Enrolment!W29)&gt;0,(Enrolment!X29-Enrolment!W29),"0")</f>
        <v>5186.478093822996</v>
      </c>
      <c r="L15" s="7">
        <f>IF((Enrolment!Y29-Enrolment!X29)&gt;0,(Enrolment!Y29-Enrolment!X29),"0")</f>
        <v>5682.0383130972768</v>
      </c>
    </row>
    <row r="17" spans="1:17" x14ac:dyDescent="0.3">
      <c r="A17" s="10" t="s">
        <v>50</v>
      </c>
      <c r="B17" s="10" t="s">
        <v>27</v>
      </c>
      <c r="C17" s="10">
        <f>Inputs!$F$5</f>
        <v>2021</v>
      </c>
      <c r="D17" s="10">
        <f>C17+1</f>
        <v>2022</v>
      </c>
      <c r="E17" s="10">
        <f t="shared" ref="E17:L17" si="2">D17+1</f>
        <v>2023</v>
      </c>
      <c r="F17" s="10">
        <f t="shared" si="2"/>
        <v>2024</v>
      </c>
      <c r="G17" s="10">
        <f t="shared" si="2"/>
        <v>2025</v>
      </c>
      <c r="H17" s="10">
        <f t="shared" si="2"/>
        <v>2026</v>
      </c>
      <c r="I17" s="10">
        <f t="shared" si="2"/>
        <v>2027</v>
      </c>
      <c r="J17" s="10">
        <f t="shared" si="2"/>
        <v>2028</v>
      </c>
      <c r="K17" s="10">
        <f t="shared" si="2"/>
        <v>2029</v>
      </c>
      <c r="L17" s="10">
        <f t="shared" si="2"/>
        <v>2030</v>
      </c>
    </row>
    <row r="18" spans="1:17" x14ac:dyDescent="0.3">
      <c r="A18" s="10" t="str">
        <f>IF(Inputs!$J$5&gt;1,"Pre-Pri Year 1","Pre-Pri Year")</f>
        <v>Pre-Pri Year 1</v>
      </c>
      <c r="B18" s="16" t="str">
        <f>IF(Inputs!$J$5&gt;1,"3","3-5")</f>
        <v>3</v>
      </c>
      <c r="C18" s="57" t="s">
        <v>34</v>
      </c>
      <c r="D18" s="7">
        <f t="shared" ref="D18:L18" si="3">D8+D13</f>
        <v>8398.6200000000099</v>
      </c>
      <c r="E18" s="7">
        <f t="shared" si="3"/>
        <v>5890.7322000000058</v>
      </c>
      <c r="F18" s="7">
        <f t="shared" si="3"/>
        <v>6211.6958820000073</v>
      </c>
      <c r="G18" s="7">
        <f t="shared" si="3"/>
        <v>6550.2933724200047</v>
      </c>
      <c r="H18" s="7">
        <f t="shared" si="3"/>
        <v>6907.5014991402131</v>
      </c>
      <c r="I18" s="7">
        <f t="shared" si="3"/>
        <v>7284.3516396823761</v>
      </c>
      <c r="J18" s="7">
        <f t="shared" si="3"/>
        <v>7681.9327911867513</v>
      </c>
      <c r="K18" s="7">
        <f t="shared" si="3"/>
        <v>8101.3948144375681</v>
      </c>
      <c r="L18" s="7">
        <f t="shared" si="3"/>
        <v>8543.9518618724105</v>
      </c>
      <c r="N18" s="13" t="s">
        <v>221</v>
      </c>
    </row>
    <row r="19" spans="1:17" x14ac:dyDescent="0.3">
      <c r="A19" s="10" t="str">
        <f>IF(Inputs!$J$5&gt;1,"Pre-Pri Year 2","")</f>
        <v>Pre-Pri Year 2</v>
      </c>
      <c r="B19" s="16" t="str">
        <f>IF(Inputs!$J$5&gt;1,"4","")</f>
        <v>4</v>
      </c>
      <c r="C19" s="57" t="s">
        <v>34</v>
      </c>
      <c r="D19" s="7">
        <f t="shared" ref="D19:L19" si="4">D9+D14</f>
        <v>0</v>
      </c>
      <c r="E19" s="7">
        <f t="shared" si="4"/>
        <v>5678.035200000013</v>
      </c>
      <c r="F19" s="7">
        <f t="shared" si="4"/>
        <v>6761.3411560000095</v>
      </c>
      <c r="G19" s="7">
        <f t="shared" si="4"/>
        <v>7166.9411559200089</v>
      </c>
      <c r="H19" s="7">
        <f t="shared" si="4"/>
        <v>7600.4611122299975</v>
      </c>
      <c r="I19" s="7">
        <f t="shared" si="4"/>
        <v>8534.0430531072852</v>
      </c>
      <c r="J19" s="7">
        <f t="shared" si="4"/>
        <v>9092.4071304077152</v>
      </c>
      <c r="K19" s="7">
        <f t="shared" si="4"/>
        <v>9686.6706163870113</v>
      </c>
      <c r="L19" s="7">
        <f t="shared" si="4"/>
        <v>8490.9966577898595</v>
      </c>
    </row>
    <row r="20" spans="1:17" x14ac:dyDescent="0.3">
      <c r="A20" s="10" t="str">
        <f>IF(Inputs!$J$5&gt;2,"Pre-Pri Year 3","")</f>
        <v>Pre-Pri Year 3</v>
      </c>
      <c r="B20" s="16" t="str">
        <f>IF(Inputs!$J$5&lt;3,"","5")</f>
        <v>5</v>
      </c>
      <c r="C20" s="57" t="s">
        <v>34</v>
      </c>
      <c r="D20" s="7">
        <f t="shared" ref="D20:L20" si="5">D10+D15</f>
        <v>0</v>
      </c>
      <c r="E20" s="7">
        <f t="shared" si="5"/>
        <v>0</v>
      </c>
      <c r="F20" s="7">
        <f t="shared" si="5"/>
        <v>4205.2762860000075</v>
      </c>
      <c r="G20" s="7">
        <f t="shared" si="5"/>
        <v>7496.1008361600179</v>
      </c>
      <c r="H20" s="7">
        <f t="shared" si="5"/>
        <v>8114.7123859800122</v>
      </c>
      <c r="I20" s="7">
        <f t="shared" si="5"/>
        <v>8673.6930231783408</v>
      </c>
      <c r="J20" s="7">
        <f t="shared" si="5"/>
        <v>10165.573501925457</v>
      </c>
      <c r="K20" s="7">
        <f t="shared" si="5"/>
        <v>9289.8388187549135</v>
      </c>
      <c r="L20" s="7">
        <f t="shared" si="5"/>
        <v>10794.785972053287</v>
      </c>
      <c r="N20" t="s">
        <v>13</v>
      </c>
      <c r="O20" t="str">
        <f>"1 new "&amp;Semantics!B6&amp;" for"</f>
        <v>1 new Teacher for</v>
      </c>
      <c r="P20" s="86">
        <f>'Policy Decisions'!C36</f>
        <v>30</v>
      </c>
      <c r="Q20" t="s">
        <v>53</v>
      </c>
    </row>
    <row r="21" spans="1:17" x14ac:dyDescent="0.3">
      <c r="N21" t="s">
        <v>14</v>
      </c>
      <c r="O21" t="str">
        <f>"1 new "&amp;Semantics!B6&amp;" for"</f>
        <v>1 new Teacher for</v>
      </c>
      <c r="P21" s="86">
        <f>'Policy Decisions'!C37</f>
        <v>30</v>
      </c>
      <c r="Q21" t="s">
        <v>53</v>
      </c>
    </row>
    <row r="22" spans="1:17" x14ac:dyDescent="0.3">
      <c r="A22" s="3" t="str">
        <f>"Additional "&amp;Semantics!B6&amp;"s - Public"</f>
        <v>Additional Teachers - Public</v>
      </c>
      <c r="B22" s="3"/>
    </row>
    <row r="23" spans="1:17" x14ac:dyDescent="0.3">
      <c r="C23" s="28" t="s">
        <v>76</v>
      </c>
      <c r="N23" s="13" t="s">
        <v>222</v>
      </c>
    </row>
    <row r="24" spans="1:17" x14ac:dyDescent="0.3">
      <c r="A24" s="10" t="s">
        <v>124</v>
      </c>
      <c r="B24" s="10" t="s">
        <v>51</v>
      </c>
      <c r="C24" s="10">
        <f>Inputs!$F$5</f>
        <v>2021</v>
      </c>
      <c r="D24" s="10">
        <f>C24+1</f>
        <v>2022</v>
      </c>
      <c r="E24" s="10">
        <f t="shared" ref="E24:L24" si="6">D24+1</f>
        <v>2023</v>
      </c>
      <c r="F24" s="10">
        <f t="shared" si="6"/>
        <v>2024</v>
      </c>
      <c r="G24" s="10">
        <f t="shared" si="6"/>
        <v>2025</v>
      </c>
      <c r="H24" s="10">
        <f t="shared" si="6"/>
        <v>2026</v>
      </c>
      <c r="I24" s="10">
        <f t="shared" si="6"/>
        <v>2027</v>
      </c>
      <c r="J24" s="10">
        <f t="shared" si="6"/>
        <v>2028</v>
      </c>
      <c r="K24" s="10">
        <f t="shared" si="6"/>
        <v>2029</v>
      </c>
      <c r="L24" s="10">
        <f t="shared" si="6"/>
        <v>2030</v>
      </c>
    </row>
    <row r="25" spans="1:17" x14ac:dyDescent="0.3">
      <c r="A25" s="10" t="str">
        <f>IF(Inputs!$J$5&gt;1,"Pre-Pri Year 1","Pre-Pri Year")</f>
        <v>Pre-Pri Year 1</v>
      </c>
      <c r="B25" s="16" t="str">
        <f>IF(Inputs!$J$5&gt;1,"Male","Male")</f>
        <v>Male</v>
      </c>
      <c r="C25" s="57">
        <f>Inputs!C55</f>
        <v>1251</v>
      </c>
      <c r="D25" s="7">
        <f>D8/$P$25</f>
        <v>218.72222222222248</v>
      </c>
      <c r="E25" s="7">
        <f t="shared" ref="E25:L25" si="7">E8/$P$25</f>
        <v>120.29722222222227</v>
      </c>
      <c r="F25" s="7">
        <f t="shared" si="7"/>
        <v>126.31208333333349</v>
      </c>
      <c r="G25" s="7">
        <f t="shared" si="7"/>
        <v>132.62768750000018</v>
      </c>
      <c r="H25" s="7">
        <f t="shared" si="7"/>
        <v>139.25907187500033</v>
      </c>
      <c r="I25" s="7">
        <f t="shared" si="7"/>
        <v>146.22202546875039</v>
      </c>
      <c r="J25" s="7">
        <f t="shared" si="7"/>
        <v>153.53312674218776</v>
      </c>
      <c r="K25" s="7">
        <f t="shared" si="7"/>
        <v>161.20978307929721</v>
      </c>
      <c r="L25" s="7">
        <f t="shared" si="7"/>
        <v>169.27027223326203</v>
      </c>
      <c r="N25" t="s">
        <v>13</v>
      </c>
      <c r="O25" t="str">
        <f>"1 new "&amp;Semantics!B6&amp;" for"</f>
        <v>1 new Teacher for</v>
      </c>
      <c r="P25" s="81">
        <f>P20*(1-Inputs!$J$10)</f>
        <v>27</v>
      </c>
      <c r="Q25" t="s">
        <v>53</v>
      </c>
    </row>
    <row r="26" spans="1:17" x14ac:dyDescent="0.3">
      <c r="A26" s="10" t="str">
        <f>IF(Inputs!$J$5&gt;1,"Pre-Pri Year 2","")</f>
        <v>Pre-Pri Year 2</v>
      </c>
      <c r="B26" s="16" t="str">
        <f>IF(Inputs!$J$5&gt;1,"Male","")</f>
        <v>Male</v>
      </c>
      <c r="C26" s="57">
        <f>Inputs!C56</f>
        <v>1754</v>
      </c>
      <c r="D26" s="7">
        <f t="shared" ref="D26:L27" si="8">D9/$P$25</f>
        <v>0</v>
      </c>
      <c r="E26" s="7">
        <f t="shared" si="8"/>
        <v>158.20048888888925</v>
      </c>
      <c r="F26" s="7">
        <f t="shared" si="8"/>
        <v>146.16661200000036</v>
      </c>
      <c r="G26" s="7">
        <f t="shared" si="8"/>
        <v>152.62613072000008</v>
      </c>
      <c r="H26" s="7">
        <f t="shared" si="8"/>
        <v>161.01492566599984</v>
      </c>
      <c r="I26" s="7">
        <f t="shared" si="8"/>
        <v>169.96919134944079</v>
      </c>
      <c r="J26" s="7">
        <f t="shared" si="8"/>
        <v>179.41157820349866</v>
      </c>
      <c r="K26" s="7">
        <f t="shared" si="8"/>
        <v>189.36102440577815</v>
      </c>
      <c r="L26" s="7">
        <f t="shared" si="8"/>
        <v>132.13569294396547</v>
      </c>
      <c r="N26" t="s">
        <v>14</v>
      </c>
      <c r="O26" t="str">
        <f>"1 new "&amp;Semantics!B6&amp;" for"</f>
        <v>1 new Teacher for</v>
      </c>
      <c r="P26" s="81">
        <f>P21*(1-Inputs!$J$11)</f>
        <v>27</v>
      </c>
      <c r="Q26" t="s">
        <v>53</v>
      </c>
    </row>
    <row r="27" spans="1:17" x14ac:dyDescent="0.3">
      <c r="A27" s="10" t="str">
        <f>IF(Inputs!$J$5=3,"Pre-Pri Year 3","")</f>
        <v>Pre-Pri Year 3</v>
      </c>
      <c r="B27" s="16" t="str">
        <f>IF(Inputs!$J$5=3,"Male","")</f>
        <v>Male</v>
      </c>
      <c r="C27" s="57">
        <f>Inputs!C57</f>
        <v>1125</v>
      </c>
      <c r="D27" s="7">
        <f t="shared" si="8"/>
        <v>0</v>
      </c>
      <c r="E27" s="7">
        <f t="shared" si="8"/>
        <v>0</v>
      </c>
      <c r="F27" s="7">
        <f t="shared" si="8"/>
        <v>132.06205755555587</v>
      </c>
      <c r="G27" s="7">
        <f t="shared" si="8"/>
        <v>167.6674346933338</v>
      </c>
      <c r="H27" s="7">
        <f t="shared" si="8"/>
        <v>178.14215730755569</v>
      </c>
      <c r="I27" s="7">
        <f t="shared" si="8"/>
        <v>189.32436734185279</v>
      </c>
      <c r="J27" s="7">
        <f t="shared" si="8"/>
        <v>201.2682090061264</v>
      </c>
      <c r="K27" s="7">
        <f t="shared" si="8"/>
        <v>151.97632314562657</v>
      </c>
      <c r="L27" s="7">
        <f t="shared" si="8"/>
        <v>189.36102440577815</v>
      </c>
    </row>
    <row r="28" spans="1:17" x14ac:dyDescent="0.3">
      <c r="A28" s="10" t="str">
        <f>IF(Inputs!$J$5&gt;1,"Pre-Pri Year 1","Pre-Pri Year")</f>
        <v>Pre-Pri Year 1</v>
      </c>
      <c r="B28" s="16" t="str">
        <f>IF(Inputs!$J$5&gt;1,"Female","Female")</f>
        <v>Female</v>
      </c>
      <c r="C28" s="57">
        <f>Inputs!C58</f>
        <v>756</v>
      </c>
      <c r="D28" s="7">
        <f>D13/$P$26</f>
        <v>92.337777777777873</v>
      </c>
      <c r="E28" s="7">
        <f t="shared" ref="E28:L28" si="9">E13/$P$26</f>
        <v>97.878044444444612</v>
      </c>
      <c r="F28" s="7">
        <f t="shared" si="9"/>
        <v>103.75072711111123</v>
      </c>
      <c r="G28" s="7">
        <f t="shared" si="9"/>
        <v>109.97577073777776</v>
      </c>
      <c r="H28" s="7">
        <f t="shared" si="9"/>
        <v>116.57431698204461</v>
      </c>
      <c r="I28" s="7">
        <f t="shared" si="9"/>
        <v>123.56877600096723</v>
      </c>
      <c r="J28" s="7">
        <f t="shared" si="9"/>
        <v>130.98290256102524</v>
      </c>
      <c r="K28" s="7">
        <f t="shared" si="9"/>
        <v>138.8418767146868</v>
      </c>
      <c r="L28" s="7">
        <f t="shared" si="9"/>
        <v>147.17238931756799</v>
      </c>
    </row>
    <row r="29" spans="1:17" x14ac:dyDescent="0.3">
      <c r="A29" s="10" t="str">
        <f>IF(Inputs!$J$5&gt;1,"Pre-Pri Year 2","")</f>
        <v>Pre-Pri Year 2</v>
      </c>
      <c r="B29" s="16" t="str">
        <f>IF(Inputs!$J$5&gt;1,"Female","")</f>
        <v>Female</v>
      </c>
      <c r="C29" s="57">
        <f>Inputs!C59</f>
        <v>456</v>
      </c>
      <c r="D29" s="7">
        <f t="shared" ref="D29:L30" si="10">D14/$P$26</f>
        <v>0</v>
      </c>
      <c r="E29" s="7">
        <f t="shared" si="10"/>
        <v>52.097111111111225</v>
      </c>
      <c r="F29" s="7">
        <f t="shared" si="10"/>
        <v>104.25343081481481</v>
      </c>
      <c r="G29" s="7">
        <f t="shared" si="10"/>
        <v>112.81613431407432</v>
      </c>
      <c r="H29" s="7">
        <f t="shared" si="10"/>
        <v>120.48363404622231</v>
      </c>
      <c r="I29" s="7">
        <f t="shared" si="10"/>
        <v>146.10647728416237</v>
      </c>
      <c r="J29" s="7">
        <f t="shared" si="10"/>
        <v>157.34424144123153</v>
      </c>
      <c r="K29" s="7">
        <f t="shared" si="10"/>
        <v>169.40455397892597</v>
      </c>
      <c r="L29" s="7">
        <f t="shared" si="10"/>
        <v>182.34566475195527</v>
      </c>
    </row>
    <row r="30" spans="1:17" x14ac:dyDescent="0.3">
      <c r="A30" s="10" t="str">
        <f>IF(Inputs!$J$5=3,"Pre-Pri Year 3","")</f>
        <v>Pre-Pri Year 3</v>
      </c>
      <c r="B30" s="16" t="str">
        <f>IF(Inputs!$J$5=3,"Female","")</f>
        <v>Female</v>
      </c>
      <c r="C30" s="57">
        <f>Inputs!C60</f>
        <v>854</v>
      </c>
      <c r="D30" s="7">
        <f t="shared" si="10"/>
        <v>0</v>
      </c>
      <c r="E30" s="7">
        <f t="shared" si="10"/>
        <v>0</v>
      </c>
      <c r="F30" s="7">
        <f t="shared" si="10"/>
        <v>23.688915999999963</v>
      </c>
      <c r="G30" s="7">
        <f t="shared" si="10"/>
        <v>109.96592960888908</v>
      </c>
      <c r="H30" s="7">
        <f t="shared" si="10"/>
        <v>122.4027458768892</v>
      </c>
      <c r="I30" s="7">
        <f t="shared" si="10"/>
        <v>131.92352240549317</v>
      </c>
      <c r="J30" s="7">
        <f t="shared" si="10"/>
        <v>175.23451328740904</v>
      </c>
      <c r="K30" s="7">
        <f t="shared" si="10"/>
        <v>192.09178125270356</v>
      </c>
      <c r="L30" s="7">
        <f t="shared" si="10"/>
        <v>210.44586344804728</v>
      </c>
    </row>
    <row r="31" spans="1:17" x14ac:dyDescent="0.3">
      <c r="A31" s="10" t="str">
        <f>IF(Inputs!$J$5&gt;1,"Pre-Pri Year 1","Pre-Pri Year")</f>
        <v>Pre-Pri Year 1</v>
      </c>
      <c r="B31" s="16" t="str">
        <f>IF(Inputs!$J$5&gt;1,"Total","Total")</f>
        <v>Total</v>
      </c>
      <c r="C31" s="57">
        <f>C25+C28</f>
        <v>2007</v>
      </c>
      <c r="D31" s="19">
        <f>D25+D28</f>
        <v>311.06000000000034</v>
      </c>
      <c r="E31" s="19">
        <f t="shared" ref="E31:L31" si="11">E25+E28</f>
        <v>218.17526666666689</v>
      </c>
      <c r="F31" s="19">
        <f t="shared" si="11"/>
        <v>230.06281044444472</v>
      </c>
      <c r="G31" s="19">
        <f t="shared" si="11"/>
        <v>242.60345823777794</v>
      </c>
      <c r="H31" s="19">
        <f t="shared" si="11"/>
        <v>255.83338885704495</v>
      </c>
      <c r="I31" s="19">
        <f t="shared" si="11"/>
        <v>269.79080146971762</v>
      </c>
      <c r="J31" s="19">
        <f t="shared" si="11"/>
        <v>284.51602930321303</v>
      </c>
      <c r="K31" s="19">
        <f t="shared" si="11"/>
        <v>300.05165979398402</v>
      </c>
      <c r="L31" s="19">
        <f t="shared" si="11"/>
        <v>316.44266155083005</v>
      </c>
    </row>
    <row r="32" spans="1:17" x14ac:dyDescent="0.3">
      <c r="A32" s="10" t="str">
        <f>IF(Inputs!$J$5&gt;1,"Pre-Pri Year 2","")</f>
        <v>Pre-Pri Year 2</v>
      </c>
      <c r="B32" s="16" t="str">
        <f>IF(Inputs!$J$5&gt;1,"Male","")</f>
        <v>Male</v>
      </c>
      <c r="C32" s="57">
        <f t="shared" ref="C32:D33" si="12">C26+C29</f>
        <v>2210</v>
      </c>
      <c r="D32" s="19">
        <f t="shared" si="12"/>
        <v>0</v>
      </c>
      <c r="E32" s="19">
        <f t="shared" ref="E32:L32" si="13">E26+E29</f>
        <v>210.29760000000047</v>
      </c>
      <c r="F32" s="19">
        <f t="shared" si="13"/>
        <v>250.42004281481516</v>
      </c>
      <c r="G32" s="19">
        <f t="shared" si="13"/>
        <v>265.44226503407441</v>
      </c>
      <c r="H32" s="19">
        <f t="shared" si="13"/>
        <v>281.49855971222212</v>
      </c>
      <c r="I32" s="19">
        <f t="shared" si="13"/>
        <v>316.07566863360319</v>
      </c>
      <c r="J32" s="19">
        <f t="shared" si="13"/>
        <v>336.7558196447302</v>
      </c>
      <c r="K32" s="19">
        <f t="shared" si="13"/>
        <v>358.7655783847041</v>
      </c>
      <c r="L32" s="19">
        <f t="shared" si="13"/>
        <v>314.48135769592074</v>
      </c>
    </row>
    <row r="33" spans="1:17" x14ac:dyDescent="0.3">
      <c r="A33" s="10" t="str">
        <f>IF(Inputs!$J$5=3,"Pre-Pri Year 3","")</f>
        <v>Pre-Pri Year 3</v>
      </c>
      <c r="B33" s="16" t="str">
        <f>IF(Inputs!$J$5=3,"Male","")</f>
        <v>Male</v>
      </c>
      <c r="C33" s="57">
        <f t="shared" si="12"/>
        <v>1979</v>
      </c>
      <c r="D33" s="19">
        <f t="shared" si="12"/>
        <v>0</v>
      </c>
      <c r="E33" s="19">
        <f t="shared" ref="E33:L33" si="14">E27+E30</f>
        <v>0</v>
      </c>
      <c r="F33" s="19">
        <f t="shared" si="14"/>
        <v>155.75097355555584</v>
      </c>
      <c r="G33" s="19">
        <f t="shared" si="14"/>
        <v>277.6333643022229</v>
      </c>
      <c r="H33" s="19">
        <f t="shared" si="14"/>
        <v>300.54490318444488</v>
      </c>
      <c r="I33" s="19">
        <f t="shared" si="14"/>
        <v>321.24788974734599</v>
      </c>
      <c r="J33" s="19">
        <f t="shared" si="14"/>
        <v>376.50272229353544</v>
      </c>
      <c r="K33" s="19">
        <f t="shared" si="14"/>
        <v>344.06810439833009</v>
      </c>
      <c r="L33" s="19">
        <f t="shared" si="14"/>
        <v>399.8068878538254</v>
      </c>
    </row>
    <row r="34" spans="1:17" x14ac:dyDescent="0.3">
      <c r="A34" s="10" t="s">
        <v>73</v>
      </c>
      <c r="B34" s="16" t="s">
        <v>13</v>
      </c>
      <c r="C34" s="57">
        <f>C25+C26+C27</f>
        <v>4130</v>
      </c>
      <c r="D34" s="29">
        <f>D25+D26+D27</f>
        <v>218.72222222222248</v>
      </c>
      <c r="E34" s="29">
        <f t="shared" ref="E34:L34" si="15">E25+E26+E27</f>
        <v>278.49771111111153</v>
      </c>
      <c r="F34" s="29">
        <f t="shared" si="15"/>
        <v>404.54075288888976</v>
      </c>
      <c r="G34" s="29">
        <f t="shared" si="15"/>
        <v>452.92125291333406</v>
      </c>
      <c r="H34" s="29">
        <f t="shared" si="15"/>
        <v>478.41615484855589</v>
      </c>
      <c r="I34" s="29">
        <f t="shared" si="15"/>
        <v>505.51558416004394</v>
      </c>
      <c r="J34" s="29">
        <f t="shared" si="15"/>
        <v>534.21291395181288</v>
      </c>
      <c r="K34" s="29">
        <f t="shared" si="15"/>
        <v>502.54713063070193</v>
      </c>
      <c r="L34" s="29">
        <f t="shared" si="15"/>
        <v>490.76698958300562</v>
      </c>
    </row>
    <row r="35" spans="1:17" x14ac:dyDescent="0.3">
      <c r="A35" s="10" t="s">
        <v>73</v>
      </c>
      <c r="B35" s="16" t="s">
        <v>14</v>
      </c>
      <c r="C35" s="57">
        <f>C28+C29+C30</f>
        <v>2066</v>
      </c>
      <c r="D35" s="29">
        <f>D28+D29+D30</f>
        <v>92.337777777777873</v>
      </c>
      <c r="E35" s="29">
        <f t="shared" ref="E35:L35" si="16">E28+E29+E30</f>
        <v>149.97515555555583</v>
      </c>
      <c r="F35" s="29">
        <f t="shared" si="16"/>
        <v>231.693073925926</v>
      </c>
      <c r="G35" s="29">
        <f t="shared" si="16"/>
        <v>332.7578346607412</v>
      </c>
      <c r="H35" s="29">
        <f t="shared" si="16"/>
        <v>359.46069690515611</v>
      </c>
      <c r="I35" s="29">
        <f t="shared" si="16"/>
        <v>401.5987756906228</v>
      </c>
      <c r="J35" s="29">
        <f t="shared" si="16"/>
        <v>463.56165728966585</v>
      </c>
      <c r="K35" s="29">
        <f t="shared" si="16"/>
        <v>500.33821194631628</v>
      </c>
      <c r="L35" s="29">
        <f t="shared" si="16"/>
        <v>539.96391751757051</v>
      </c>
    </row>
    <row r="36" spans="1:17" x14ac:dyDescent="0.3">
      <c r="A36" s="10" t="s">
        <v>73</v>
      </c>
      <c r="B36" s="16" t="s">
        <v>18</v>
      </c>
      <c r="C36" s="57">
        <f>C31+C32+C33</f>
        <v>6196</v>
      </c>
      <c r="D36" s="29">
        <f>D31+D32+D33</f>
        <v>311.06000000000034</v>
      </c>
      <c r="E36" s="29">
        <f t="shared" ref="E36:L36" si="17">E31+E32+E33</f>
        <v>428.47286666666736</v>
      </c>
      <c r="F36" s="29">
        <f t="shared" si="17"/>
        <v>636.23382681481576</v>
      </c>
      <c r="G36" s="29">
        <f t="shared" si="17"/>
        <v>785.67908757407531</v>
      </c>
      <c r="H36" s="29">
        <f t="shared" si="17"/>
        <v>837.87685175371189</v>
      </c>
      <c r="I36" s="29">
        <f t="shared" si="17"/>
        <v>907.1143598506668</v>
      </c>
      <c r="J36" s="29">
        <f t="shared" si="17"/>
        <v>997.77457124147872</v>
      </c>
      <c r="K36" s="29">
        <f t="shared" si="17"/>
        <v>1002.8853425770182</v>
      </c>
      <c r="L36" s="29">
        <f t="shared" si="17"/>
        <v>1030.7309071005761</v>
      </c>
    </row>
    <row r="38" spans="1:17" x14ac:dyDescent="0.3">
      <c r="A38" s="3" t="str">
        <f>"Existing "&amp;Semantics!B6&amp;"s Gap - Public"</f>
        <v>Existing Teachers Gap - Public</v>
      </c>
      <c r="B38" s="3"/>
    </row>
    <row r="39" spans="1:17" x14ac:dyDescent="0.3">
      <c r="C39" s="28" t="s">
        <v>77</v>
      </c>
    </row>
    <row r="40" spans="1:17" x14ac:dyDescent="0.3">
      <c r="A40" s="10" t="s">
        <v>124</v>
      </c>
      <c r="B40" s="10" t="s">
        <v>51</v>
      </c>
      <c r="C40" s="10">
        <f>Inputs!$F$5</f>
        <v>2021</v>
      </c>
      <c r="D40" s="10">
        <f>C40+1</f>
        <v>2022</v>
      </c>
      <c r="E40" s="10">
        <f t="shared" ref="E40:L40" si="18">D40+1</f>
        <v>2023</v>
      </c>
      <c r="F40" s="10">
        <f t="shared" si="18"/>
        <v>2024</v>
      </c>
      <c r="G40" s="10">
        <f t="shared" si="18"/>
        <v>2025</v>
      </c>
      <c r="H40" s="10">
        <f t="shared" si="18"/>
        <v>2026</v>
      </c>
      <c r="I40" s="10">
        <f t="shared" si="18"/>
        <v>2027</v>
      </c>
      <c r="J40" s="10">
        <f t="shared" si="18"/>
        <v>2028</v>
      </c>
      <c r="K40" s="10">
        <f t="shared" si="18"/>
        <v>2029</v>
      </c>
      <c r="L40" s="10">
        <f t="shared" si="18"/>
        <v>2030</v>
      </c>
      <c r="N40" s="13" t="s">
        <v>52</v>
      </c>
    </row>
    <row r="41" spans="1:17" x14ac:dyDescent="0.3">
      <c r="A41" s="10" t="str">
        <f>IF(Inputs!$J$5&gt;1,"Pre-Pri Year 1","Pre-Pri Year")</f>
        <v>Pre-Pri Year 1</v>
      </c>
      <c r="B41" s="16" t="str">
        <f>IF(Inputs!$J$5&gt;1,"Male","Male")</f>
        <v>Male</v>
      </c>
      <c r="C41" s="57">
        <f>Inputs!D55</f>
        <v>255</v>
      </c>
      <c r="D41" s="7">
        <f>IF($P$41&gt;0,$C$41/$P$41,"0")</f>
        <v>51</v>
      </c>
      <c r="E41" s="7">
        <f>IF($P$41&gt;1,$C$41/$P$41,"0")</f>
        <v>51</v>
      </c>
      <c r="F41" s="7">
        <f>IF($P$41&gt;2,$C$41/$P$41,"0")</f>
        <v>51</v>
      </c>
      <c r="G41" s="7">
        <f>IF($P$41&gt;3,$C$41/$P$41,"0")</f>
        <v>51</v>
      </c>
      <c r="H41" s="7">
        <f>IF($P$41&gt;4,$C$41/$P$41,"0")</f>
        <v>51</v>
      </c>
      <c r="I41" s="7" t="str">
        <f>IF($P$41&gt;5,$C$41/$P$41,"0")</f>
        <v>0</v>
      </c>
      <c r="J41" s="7" t="str">
        <f>IF($P$41&gt;6,$C$41/$P$41,"0")</f>
        <v>0</v>
      </c>
      <c r="K41" s="7" t="str">
        <f>IF($P$41&gt;7,$C$41/$P$41,"0")</f>
        <v>0</v>
      </c>
      <c r="L41" s="7" t="str">
        <f>IF($P$41&gt;8,$C$41/$P$41,"0")</f>
        <v>0</v>
      </c>
      <c r="N41" t="s">
        <v>13</v>
      </c>
      <c r="O41" t="s">
        <v>54</v>
      </c>
      <c r="P41" s="85">
        <f>'Policy Decisions'!C41</f>
        <v>5</v>
      </c>
      <c r="Q41" t="s">
        <v>24</v>
      </c>
    </row>
    <row r="42" spans="1:17" x14ac:dyDescent="0.3">
      <c r="A42" s="10" t="str">
        <f>IF(Inputs!$J$5&gt;1,"Pre-Pri Year 2","")</f>
        <v>Pre-Pri Year 2</v>
      </c>
      <c r="B42" s="16" t="str">
        <f>IF(Inputs!$J$5&gt;1,"Male","")</f>
        <v>Male</v>
      </c>
      <c r="C42" s="57">
        <f>Inputs!D56</f>
        <v>215</v>
      </c>
      <c r="D42" s="7">
        <f>IF($P$43&gt;0,$C$42/$P$43,"0")</f>
        <v>43</v>
      </c>
      <c r="E42" s="7">
        <f>IF($P$43&gt;1,$C$42/$P$43,"0")</f>
        <v>43</v>
      </c>
      <c r="F42" s="7">
        <f>IF($P$43&gt;2,$C$42/$P$43,"0")</f>
        <v>43</v>
      </c>
      <c r="G42" s="7">
        <f>IF($P$43&gt;3,$C$42/$P$43,"0")</f>
        <v>43</v>
      </c>
      <c r="H42" s="7">
        <f>IF($P$43&gt;4,$C$42/$P$43,"0")</f>
        <v>43</v>
      </c>
      <c r="I42" s="7" t="str">
        <f>IF($P$43&gt;5,$C$42/$P$43,"0")</f>
        <v>0</v>
      </c>
      <c r="J42" s="7" t="str">
        <f>IF($P$43&gt;6,$C$42/$P$43,"0")</f>
        <v>0</v>
      </c>
      <c r="K42" s="7" t="str">
        <f>IF($P$43&gt;7,$C$42/$P$43,"0")</f>
        <v>0</v>
      </c>
      <c r="L42" s="7" t="str">
        <f>IF($P$43&gt;8,$C$42/$P$43,"0")</f>
        <v>0</v>
      </c>
      <c r="N42" t="s">
        <v>14</v>
      </c>
      <c r="O42" t="s">
        <v>54</v>
      </c>
      <c r="P42" s="85">
        <f>'Policy Decisions'!C42</f>
        <v>5</v>
      </c>
      <c r="Q42" t="s">
        <v>24</v>
      </c>
    </row>
    <row r="43" spans="1:17" x14ac:dyDescent="0.3">
      <c r="A43" s="10" t="str">
        <f>IF(Inputs!$J$5=3,"Pre-Pri Year 3","")</f>
        <v>Pre-Pri Year 3</v>
      </c>
      <c r="B43" s="16" t="str">
        <f>IF(Inputs!$J$5=3,"Male","")</f>
        <v>Male</v>
      </c>
      <c r="C43" s="57">
        <f>Inputs!D57</f>
        <v>145</v>
      </c>
      <c r="D43" s="7">
        <f>IF($P$45&gt;0,$C$43/$P$45,"0")</f>
        <v>29</v>
      </c>
      <c r="E43" s="7">
        <f>IF($P$45&gt;1,$C$43/$P$45,"0")</f>
        <v>29</v>
      </c>
      <c r="F43" s="7">
        <f>IF($P$45&gt;2,$C$43/$P$45,"0")</f>
        <v>29</v>
      </c>
      <c r="G43" s="7">
        <f>IF($P$45&gt;3,$C$43/$P$45,"0")</f>
        <v>29</v>
      </c>
      <c r="H43" s="7">
        <f>IF($P$45&gt;4,$C$43/$P$45,"0")</f>
        <v>29</v>
      </c>
      <c r="I43" s="7" t="str">
        <f>IF($P$45&gt;5,$C$43/$P$45,"0")</f>
        <v>0</v>
      </c>
      <c r="J43" s="7" t="str">
        <f>IF($P$45&gt;6,$C$43/$P$45,"0")</f>
        <v>0</v>
      </c>
      <c r="K43" s="7" t="str">
        <f>IF($P$45&gt;7,$C$43/$P$45,"0")</f>
        <v>0</v>
      </c>
      <c r="L43" s="7" t="str">
        <f>IF($P$45&gt;8,$C$43/$P$45,"0")</f>
        <v>0</v>
      </c>
      <c r="N43" t="s">
        <v>13</v>
      </c>
      <c r="O43" t="s">
        <v>54</v>
      </c>
      <c r="P43" s="85">
        <f>'Policy Decisions'!C43</f>
        <v>5</v>
      </c>
      <c r="Q43" t="s">
        <v>25</v>
      </c>
    </row>
    <row r="44" spans="1:17" x14ac:dyDescent="0.3">
      <c r="A44" s="10" t="str">
        <f>IF(Inputs!$J$5&gt;1,"Pre-Pri Year 1","Pre-Pri Year")</f>
        <v>Pre-Pri Year 1</v>
      </c>
      <c r="B44" s="16" t="str">
        <f>IF(Inputs!$J$5&gt;1,"Female","Female")</f>
        <v>Female</v>
      </c>
      <c r="C44" s="57">
        <f>Inputs!D58</f>
        <v>458</v>
      </c>
      <c r="D44" s="7">
        <f>IF($P$42&gt;0,$C$44/$P$42,"0")</f>
        <v>91.6</v>
      </c>
      <c r="E44" s="7">
        <f>IF($P$42&gt;1,$C$44/$P$42,"0")</f>
        <v>91.6</v>
      </c>
      <c r="F44" s="7">
        <f>IF($P$42&gt;2,$C$44/$P$42,"0")</f>
        <v>91.6</v>
      </c>
      <c r="G44" s="7">
        <f>IF($P$42&gt;3,$C$44/$P$42,"0")</f>
        <v>91.6</v>
      </c>
      <c r="H44" s="7">
        <f>IF($P$42&gt;4,$C$44/$P$42,"0")</f>
        <v>91.6</v>
      </c>
      <c r="I44" s="7" t="str">
        <f>IF($P$42&gt;5,$C$44/$P$42,"0")</f>
        <v>0</v>
      </c>
      <c r="J44" s="7" t="str">
        <f>IF($P$42&gt;6,$C$44/$P$42,"0")</f>
        <v>0</v>
      </c>
      <c r="K44" s="7" t="str">
        <f>IF($P$42&gt;7,$C$44/$P$42,"0")</f>
        <v>0</v>
      </c>
      <c r="L44" s="7" t="str">
        <f>IF($P$42&gt;8,$C$44/$P$42,"0")</f>
        <v>0</v>
      </c>
      <c r="N44" t="s">
        <v>14</v>
      </c>
      <c r="O44" t="s">
        <v>54</v>
      </c>
      <c r="P44" s="85">
        <f>'Policy Decisions'!C44</f>
        <v>5</v>
      </c>
      <c r="Q44" t="s">
        <v>25</v>
      </c>
    </row>
    <row r="45" spans="1:17" x14ac:dyDescent="0.3">
      <c r="A45" s="10" t="str">
        <f>IF(Inputs!$J$5&gt;1,"Pre-Pri Year 2","")</f>
        <v>Pre-Pri Year 2</v>
      </c>
      <c r="B45" s="16" t="str">
        <f>IF(Inputs!$J$5&gt;1,"Female","")</f>
        <v>Female</v>
      </c>
      <c r="C45" s="57">
        <f>Inputs!D59</f>
        <v>412</v>
      </c>
      <c r="D45" s="7">
        <f>IF($P$44&gt;0,$C$45/$P$44,"0")</f>
        <v>82.4</v>
      </c>
      <c r="E45" s="7">
        <f>IF($P$44&gt;1,$C$45/$P$44,"0")</f>
        <v>82.4</v>
      </c>
      <c r="F45" s="7">
        <f>IF($P$44&gt;2,$C$45/$P$44,"0")</f>
        <v>82.4</v>
      </c>
      <c r="G45" s="7">
        <f>IF($P$44&gt;3,$C$45/$P$44,"0")</f>
        <v>82.4</v>
      </c>
      <c r="H45" s="7">
        <f>IF($P$44&gt;4,$C$45/$P$44,"0")</f>
        <v>82.4</v>
      </c>
      <c r="I45" s="7" t="str">
        <f>IF($P$44&gt;5,$C$45/$P$44,"0")</f>
        <v>0</v>
      </c>
      <c r="J45" s="7" t="str">
        <f>IF($P$44&gt;6,$C$45/$P$44,"0")</f>
        <v>0</v>
      </c>
      <c r="K45" s="7" t="str">
        <f>IF($P$44&gt;7,$C$45/$P$44,"0")</f>
        <v>0</v>
      </c>
      <c r="L45" s="7" t="str">
        <f>IF($P$44&gt;8,$C$45/$P$44,"0")</f>
        <v>0</v>
      </c>
      <c r="N45" t="s">
        <v>13</v>
      </c>
      <c r="O45" t="s">
        <v>54</v>
      </c>
      <c r="P45" s="85">
        <f>'Policy Decisions'!C45</f>
        <v>5</v>
      </c>
      <c r="Q45" t="s">
        <v>26</v>
      </c>
    </row>
    <row r="46" spans="1:17" x14ac:dyDescent="0.3">
      <c r="A46" s="10" t="str">
        <f>IF(Inputs!$J$5=3,"Pre-Pri Year 3","")</f>
        <v>Pre-Pri Year 3</v>
      </c>
      <c r="B46" s="16" t="str">
        <f>IF(Inputs!$J$5=3,"Female","")</f>
        <v>Female</v>
      </c>
      <c r="C46" s="57">
        <f>Inputs!D60</f>
        <v>215</v>
      </c>
      <c r="D46" s="7">
        <f>IF($P$46&gt;0,$C$46/$P$46,"0")</f>
        <v>43</v>
      </c>
      <c r="E46" s="7">
        <f>IF($P$46&gt;1,$C$46/$P$46,"0")</f>
        <v>43</v>
      </c>
      <c r="F46" s="7">
        <f>IF($P$46&gt;2,$C$46/$P$46,"0")</f>
        <v>43</v>
      </c>
      <c r="G46" s="7">
        <f>IF($P$46&gt;3,$C$46/$P$46,"0")</f>
        <v>43</v>
      </c>
      <c r="H46" s="7">
        <f>IF($P$46&gt;4,$C$46/$P$46,"0")</f>
        <v>43</v>
      </c>
      <c r="I46" s="7" t="str">
        <f>IF($P$46&gt;5,$C$46/$P$46,"0")</f>
        <v>0</v>
      </c>
      <c r="J46" s="7" t="str">
        <f>IF($P$46&gt;6,$C$46/$P$46,"0")</f>
        <v>0</v>
      </c>
      <c r="K46" s="7" t="str">
        <f>IF($P$46&gt;7,$C$46/$P$46,"0")</f>
        <v>0</v>
      </c>
      <c r="L46" s="7" t="str">
        <f>IF($P$46&gt;8,$C$46/$P$46,"0")</f>
        <v>0</v>
      </c>
      <c r="N46" t="s">
        <v>14</v>
      </c>
      <c r="O46" t="s">
        <v>54</v>
      </c>
      <c r="P46" s="85">
        <f>'Policy Decisions'!C46</f>
        <v>5</v>
      </c>
      <c r="Q46" t="s">
        <v>26</v>
      </c>
    </row>
    <row r="47" spans="1:17" x14ac:dyDescent="0.3">
      <c r="A47" s="10" t="str">
        <f>IF(Inputs!$J$5&gt;1,"Pre-Pri Year 1","Pre-Pri Year")</f>
        <v>Pre-Pri Year 1</v>
      </c>
      <c r="B47" s="16" t="str">
        <f>IF(Inputs!$J$5&gt;1,"Total","Total")</f>
        <v>Total</v>
      </c>
      <c r="C47" s="57">
        <f>C41+C44</f>
        <v>713</v>
      </c>
      <c r="D47" s="19">
        <f>D41+D44</f>
        <v>142.6</v>
      </c>
      <c r="E47" s="19">
        <f t="shared" ref="E47:L47" si="19">E41+E44</f>
        <v>142.6</v>
      </c>
      <c r="F47" s="19">
        <f t="shared" si="19"/>
        <v>142.6</v>
      </c>
      <c r="G47" s="19">
        <f t="shared" si="19"/>
        <v>142.6</v>
      </c>
      <c r="H47" s="19">
        <f t="shared" si="19"/>
        <v>142.6</v>
      </c>
      <c r="I47" s="19">
        <f t="shared" si="19"/>
        <v>0</v>
      </c>
      <c r="J47" s="19">
        <f t="shared" si="19"/>
        <v>0</v>
      </c>
      <c r="K47" s="19">
        <f t="shared" si="19"/>
        <v>0</v>
      </c>
      <c r="L47" s="19">
        <f t="shared" si="19"/>
        <v>0</v>
      </c>
    </row>
    <row r="48" spans="1:17" x14ac:dyDescent="0.3">
      <c r="A48" s="10" t="str">
        <f>IF(Inputs!$J$5&gt;1,"Pre-Pri Year 2","")</f>
        <v>Pre-Pri Year 2</v>
      </c>
      <c r="B48" s="16" t="str">
        <f>IF(Inputs!$J$5&gt;1,"Male","")</f>
        <v>Male</v>
      </c>
      <c r="C48" s="57">
        <f t="shared" ref="C48:L48" si="20">C42+C45</f>
        <v>627</v>
      </c>
      <c r="D48" s="19">
        <f t="shared" si="20"/>
        <v>125.4</v>
      </c>
      <c r="E48" s="19">
        <f t="shared" si="20"/>
        <v>125.4</v>
      </c>
      <c r="F48" s="19">
        <f t="shared" si="20"/>
        <v>125.4</v>
      </c>
      <c r="G48" s="19">
        <f t="shared" si="20"/>
        <v>125.4</v>
      </c>
      <c r="H48" s="19">
        <f t="shared" si="20"/>
        <v>125.4</v>
      </c>
      <c r="I48" s="19">
        <f t="shared" si="20"/>
        <v>0</v>
      </c>
      <c r="J48" s="19">
        <f t="shared" si="20"/>
        <v>0</v>
      </c>
      <c r="K48" s="19">
        <f t="shared" si="20"/>
        <v>0</v>
      </c>
      <c r="L48" s="19">
        <f t="shared" si="20"/>
        <v>0</v>
      </c>
    </row>
    <row r="49" spans="1:12" x14ac:dyDescent="0.3">
      <c r="A49" s="10" t="str">
        <f>IF(Inputs!$J$5=3,"Pre-Pri Year 3","")</f>
        <v>Pre-Pri Year 3</v>
      </c>
      <c r="B49" s="16" t="str">
        <f>IF(Inputs!$J$5=3,"Male","")</f>
        <v>Male</v>
      </c>
      <c r="C49" s="57">
        <f t="shared" ref="C49:L49" si="21">C43+C46</f>
        <v>360</v>
      </c>
      <c r="D49" s="19">
        <f t="shared" si="21"/>
        <v>72</v>
      </c>
      <c r="E49" s="19">
        <f t="shared" si="21"/>
        <v>72</v>
      </c>
      <c r="F49" s="19">
        <f t="shared" si="21"/>
        <v>72</v>
      </c>
      <c r="G49" s="19">
        <f t="shared" si="21"/>
        <v>72</v>
      </c>
      <c r="H49" s="19">
        <f t="shared" si="21"/>
        <v>72</v>
      </c>
      <c r="I49" s="19">
        <f t="shared" si="21"/>
        <v>0</v>
      </c>
      <c r="J49" s="19">
        <f t="shared" si="21"/>
        <v>0</v>
      </c>
      <c r="K49" s="19">
        <f t="shared" si="21"/>
        <v>0</v>
      </c>
      <c r="L49" s="19">
        <f t="shared" si="21"/>
        <v>0</v>
      </c>
    </row>
    <row r="50" spans="1:12" x14ac:dyDescent="0.3">
      <c r="A50" s="10" t="s">
        <v>73</v>
      </c>
      <c r="B50" s="16" t="s">
        <v>13</v>
      </c>
      <c r="C50" s="57">
        <f>C41+C42+C43</f>
        <v>615</v>
      </c>
      <c r="D50" s="29">
        <f>D41+D42+D43</f>
        <v>123</v>
      </c>
      <c r="E50" s="29">
        <f t="shared" ref="E50:L50" si="22">E41+E42+E43</f>
        <v>123</v>
      </c>
      <c r="F50" s="29">
        <f t="shared" si="22"/>
        <v>123</v>
      </c>
      <c r="G50" s="29">
        <f t="shared" si="22"/>
        <v>123</v>
      </c>
      <c r="H50" s="29">
        <f t="shared" si="22"/>
        <v>123</v>
      </c>
      <c r="I50" s="29">
        <f t="shared" si="22"/>
        <v>0</v>
      </c>
      <c r="J50" s="29">
        <f t="shared" si="22"/>
        <v>0</v>
      </c>
      <c r="K50" s="29">
        <f t="shared" si="22"/>
        <v>0</v>
      </c>
      <c r="L50" s="29">
        <f t="shared" si="22"/>
        <v>0</v>
      </c>
    </row>
    <row r="51" spans="1:12" x14ac:dyDescent="0.3">
      <c r="A51" s="10" t="s">
        <v>73</v>
      </c>
      <c r="B51" s="16" t="s">
        <v>14</v>
      </c>
      <c r="C51" s="57">
        <f>C44+C45+C46</f>
        <v>1085</v>
      </c>
      <c r="D51" s="29">
        <f>D44+D45+D46</f>
        <v>217</v>
      </c>
      <c r="E51" s="29">
        <f t="shared" ref="E51:L51" si="23">E44+E45+E46</f>
        <v>217</v>
      </c>
      <c r="F51" s="29">
        <f t="shared" si="23"/>
        <v>217</v>
      </c>
      <c r="G51" s="29">
        <f t="shared" si="23"/>
        <v>217</v>
      </c>
      <c r="H51" s="29">
        <f t="shared" si="23"/>
        <v>217</v>
      </c>
      <c r="I51" s="29">
        <f t="shared" si="23"/>
        <v>0</v>
      </c>
      <c r="J51" s="29">
        <f t="shared" si="23"/>
        <v>0</v>
      </c>
      <c r="K51" s="29">
        <f t="shared" si="23"/>
        <v>0</v>
      </c>
      <c r="L51" s="29">
        <f t="shared" si="23"/>
        <v>0</v>
      </c>
    </row>
    <row r="52" spans="1:12" x14ac:dyDescent="0.3">
      <c r="A52" s="10" t="s">
        <v>73</v>
      </c>
      <c r="B52" s="16" t="s">
        <v>18</v>
      </c>
      <c r="C52" s="57">
        <f>C47+C48+C49</f>
        <v>1700</v>
      </c>
      <c r="D52" s="29">
        <f>D47+D48+D49</f>
        <v>340</v>
      </c>
      <c r="E52" s="29">
        <f t="shared" ref="E52:L52" si="24">E47+E48+E49</f>
        <v>340</v>
      </c>
      <c r="F52" s="29">
        <f t="shared" si="24"/>
        <v>340</v>
      </c>
      <c r="G52" s="29">
        <f t="shared" si="24"/>
        <v>340</v>
      </c>
      <c r="H52" s="29">
        <f t="shared" si="24"/>
        <v>340</v>
      </c>
      <c r="I52" s="29">
        <f t="shared" si="24"/>
        <v>0</v>
      </c>
      <c r="J52" s="29">
        <f t="shared" si="24"/>
        <v>0</v>
      </c>
      <c r="K52" s="29">
        <f t="shared" si="24"/>
        <v>0</v>
      </c>
      <c r="L52" s="29">
        <f t="shared" si="24"/>
        <v>0</v>
      </c>
    </row>
    <row r="54" spans="1:12" x14ac:dyDescent="0.3">
      <c r="A54" s="3" t="str">
        <f>"Total "&amp;Semantics!B6&amp;"s Required - Public"</f>
        <v>Total Teachers Required - Public</v>
      </c>
      <c r="B54" s="3"/>
    </row>
    <row r="56" spans="1:12" x14ac:dyDescent="0.3">
      <c r="A56" s="10" t="s">
        <v>124</v>
      </c>
      <c r="B56" s="10" t="s">
        <v>51</v>
      </c>
      <c r="C56" s="10">
        <f>Inputs!$F$5</f>
        <v>2021</v>
      </c>
      <c r="D56" s="10">
        <f>C56+1</f>
        <v>2022</v>
      </c>
      <c r="E56" s="10">
        <f t="shared" ref="E56:L56" si="25">D56+1</f>
        <v>2023</v>
      </c>
      <c r="F56" s="10">
        <f t="shared" si="25"/>
        <v>2024</v>
      </c>
      <c r="G56" s="10">
        <f t="shared" si="25"/>
        <v>2025</v>
      </c>
      <c r="H56" s="10">
        <f t="shared" si="25"/>
        <v>2026</v>
      </c>
      <c r="I56" s="10">
        <f t="shared" si="25"/>
        <v>2027</v>
      </c>
      <c r="J56" s="10">
        <f t="shared" si="25"/>
        <v>2028</v>
      </c>
      <c r="K56" s="10">
        <f t="shared" si="25"/>
        <v>2029</v>
      </c>
      <c r="L56" s="10">
        <f t="shared" si="25"/>
        <v>2030</v>
      </c>
    </row>
    <row r="57" spans="1:12" x14ac:dyDescent="0.3">
      <c r="A57" s="10" t="str">
        <f>IF(Inputs!$J$5&gt;1,"Pre-Pri Year 1","Pre-Pri Year")</f>
        <v>Pre-Pri Year 1</v>
      </c>
      <c r="B57" s="16" t="str">
        <f>IF(Inputs!$J$5&gt;1,"Male","Male")</f>
        <v>Male</v>
      </c>
      <c r="C57" s="57" t="s">
        <v>34</v>
      </c>
      <c r="D57" s="7">
        <f>D25+D41</f>
        <v>269.72222222222251</v>
      </c>
      <c r="E57" s="7">
        <f t="shared" ref="E57:L57" si="26">E25+E41</f>
        <v>171.29722222222227</v>
      </c>
      <c r="F57" s="7">
        <f t="shared" si="26"/>
        <v>177.31208333333348</v>
      </c>
      <c r="G57" s="7">
        <f t="shared" si="26"/>
        <v>183.62768750000018</v>
      </c>
      <c r="H57" s="7">
        <f t="shared" si="26"/>
        <v>190.25907187500033</v>
      </c>
      <c r="I57" s="7">
        <f t="shared" si="26"/>
        <v>146.22202546875039</v>
      </c>
      <c r="J57" s="7">
        <f t="shared" si="26"/>
        <v>153.53312674218776</v>
      </c>
      <c r="K57" s="7">
        <f t="shared" si="26"/>
        <v>161.20978307929721</v>
      </c>
      <c r="L57" s="7">
        <f t="shared" si="26"/>
        <v>169.27027223326203</v>
      </c>
    </row>
    <row r="58" spans="1:12" x14ac:dyDescent="0.3">
      <c r="A58" s="10" t="str">
        <f>IF(Inputs!$J$5&gt;1,"Pre-Pri Year 2","")</f>
        <v>Pre-Pri Year 2</v>
      </c>
      <c r="B58" s="16" t="str">
        <f>IF(Inputs!$J$5&gt;1,"Male","")</f>
        <v>Male</v>
      </c>
      <c r="C58" s="57" t="s">
        <v>34</v>
      </c>
      <c r="D58" s="7">
        <f t="shared" ref="D58:L58" si="27">D26+D42</f>
        <v>43</v>
      </c>
      <c r="E58" s="7">
        <f t="shared" si="27"/>
        <v>201.20048888888925</v>
      </c>
      <c r="F58" s="7">
        <f t="shared" si="27"/>
        <v>189.16661200000036</v>
      </c>
      <c r="G58" s="7">
        <f t="shared" si="27"/>
        <v>195.62613072000008</v>
      </c>
      <c r="H58" s="7">
        <f t="shared" si="27"/>
        <v>204.01492566599984</v>
      </c>
      <c r="I58" s="7">
        <f t="shared" si="27"/>
        <v>169.96919134944079</v>
      </c>
      <c r="J58" s="7">
        <f t="shared" si="27"/>
        <v>179.41157820349866</v>
      </c>
      <c r="K58" s="7">
        <f t="shared" si="27"/>
        <v>189.36102440577815</v>
      </c>
      <c r="L58" s="7">
        <f t="shared" si="27"/>
        <v>132.13569294396547</v>
      </c>
    </row>
    <row r="59" spans="1:12" x14ac:dyDescent="0.3">
      <c r="A59" s="10" t="str">
        <f>IF(Inputs!$J$5=3,"Pre-Pri Year 3","")</f>
        <v>Pre-Pri Year 3</v>
      </c>
      <c r="B59" s="16" t="str">
        <f>IF(Inputs!$J$5=3,"Male","")</f>
        <v>Male</v>
      </c>
      <c r="C59" s="57" t="s">
        <v>34</v>
      </c>
      <c r="D59" s="7">
        <f t="shared" ref="D59:L59" si="28">D27+D43</f>
        <v>29</v>
      </c>
      <c r="E59" s="7">
        <f t="shared" si="28"/>
        <v>29</v>
      </c>
      <c r="F59" s="7">
        <f t="shared" si="28"/>
        <v>161.06205755555587</v>
      </c>
      <c r="G59" s="7">
        <f t="shared" si="28"/>
        <v>196.6674346933338</v>
      </c>
      <c r="H59" s="7">
        <f t="shared" si="28"/>
        <v>207.14215730755569</v>
      </c>
      <c r="I59" s="7">
        <f t="shared" si="28"/>
        <v>189.32436734185279</v>
      </c>
      <c r="J59" s="7">
        <f t="shared" si="28"/>
        <v>201.2682090061264</v>
      </c>
      <c r="K59" s="7">
        <f t="shared" si="28"/>
        <v>151.97632314562657</v>
      </c>
      <c r="L59" s="7">
        <f t="shared" si="28"/>
        <v>189.36102440577815</v>
      </c>
    </row>
    <row r="60" spans="1:12" x14ac:dyDescent="0.3">
      <c r="A60" s="10" t="str">
        <f>IF(Inputs!$J$5&gt;1,"Pre-Pri Year 1","Pre-Pri Year")</f>
        <v>Pre-Pri Year 1</v>
      </c>
      <c r="B60" s="16" t="str">
        <f>IF(Inputs!$J$5&gt;1,"Female","Female")</f>
        <v>Female</v>
      </c>
      <c r="C60" s="57" t="s">
        <v>34</v>
      </c>
      <c r="D60" s="7">
        <f t="shared" ref="D60:L60" si="29">D28+D44</f>
        <v>183.93777777777785</v>
      </c>
      <c r="E60" s="7">
        <f t="shared" si="29"/>
        <v>189.47804444444461</v>
      </c>
      <c r="F60" s="7">
        <f t="shared" si="29"/>
        <v>195.35072711111121</v>
      </c>
      <c r="G60" s="7">
        <f t="shared" si="29"/>
        <v>201.57577073777776</v>
      </c>
      <c r="H60" s="7">
        <f t="shared" si="29"/>
        <v>208.17431698204462</v>
      </c>
      <c r="I60" s="7">
        <f t="shared" si="29"/>
        <v>123.56877600096723</v>
      </c>
      <c r="J60" s="7">
        <f t="shared" si="29"/>
        <v>130.98290256102524</v>
      </c>
      <c r="K60" s="7">
        <f t="shared" si="29"/>
        <v>138.8418767146868</v>
      </c>
      <c r="L60" s="7">
        <f t="shared" si="29"/>
        <v>147.17238931756799</v>
      </c>
    </row>
    <row r="61" spans="1:12" x14ac:dyDescent="0.3">
      <c r="A61" s="10" t="str">
        <f>IF(Inputs!$J$5&gt;1,"Pre-Pri Year 2","")</f>
        <v>Pre-Pri Year 2</v>
      </c>
      <c r="B61" s="16" t="str">
        <f>IF(Inputs!$J$5&gt;1,"Female","")</f>
        <v>Female</v>
      </c>
      <c r="C61" s="57" t="s">
        <v>34</v>
      </c>
      <c r="D61" s="7">
        <f t="shared" ref="D61:L61" si="30">D29+D45</f>
        <v>82.4</v>
      </c>
      <c r="E61" s="7">
        <f t="shared" si="30"/>
        <v>134.49711111111122</v>
      </c>
      <c r="F61" s="7">
        <f t="shared" si="30"/>
        <v>186.65343081481481</v>
      </c>
      <c r="G61" s="7">
        <f t="shared" si="30"/>
        <v>195.21613431407434</v>
      </c>
      <c r="H61" s="7">
        <f t="shared" si="30"/>
        <v>202.88363404622231</v>
      </c>
      <c r="I61" s="7">
        <f t="shared" si="30"/>
        <v>146.10647728416237</v>
      </c>
      <c r="J61" s="7">
        <f t="shared" si="30"/>
        <v>157.34424144123153</v>
      </c>
      <c r="K61" s="7">
        <f t="shared" si="30"/>
        <v>169.40455397892597</v>
      </c>
      <c r="L61" s="7">
        <f t="shared" si="30"/>
        <v>182.34566475195527</v>
      </c>
    </row>
    <row r="62" spans="1:12" x14ac:dyDescent="0.3">
      <c r="A62" s="10" t="str">
        <f>IF(Inputs!$J$5=3,"Pre-Pri Year 3","")</f>
        <v>Pre-Pri Year 3</v>
      </c>
      <c r="B62" s="16" t="str">
        <f>IF(Inputs!$J$5=3,"Female","")</f>
        <v>Female</v>
      </c>
      <c r="C62" s="57" t="s">
        <v>34</v>
      </c>
      <c r="D62" s="7">
        <f t="shared" ref="D62:L62" si="31">D30+D46</f>
        <v>43</v>
      </c>
      <c r="E62" s="7">
        <f t="shared" si="31"/>
        <v>43</v>
      </c>
      <c r="F62" s="7">
        <f t="shared" si="31"/>
        <v>66.688915999999963</v>
      </c>
      <c r="G62" s="7">
        <f t="shared" si="31"/>
        <v>152.9659296088891</v>
      </c>
      <c r="H62" s="7">
        <f t="shared" si="31"/>
        <v>165.40274587688918</v>
      </c>
      <c r="I62" s="7">
        <f t="shared" si="31"/>
        <v>131.92352240549317</v>
      </c>
      <c r="J62" s="7">
        <f t="shared" si="31"/>
        <v>175.23451328740904</v>
      </c>
      <c r="K62" s="7">
        <f t="shared" si="31"/>
        <v>192.09178125270356</v>
      </c>
      <c r="L62" s="7">
        <f t="shared" si="31"/>
        <v>210.44586344804728</v>
      </c>
    </row>
    <row r="63" spans="1:12" x14ac:dyDescent="0.3">
      <c r="A63" s="10" t="str">
        <f>IF(Inputs!$J$5&gt;1,"Pre-Pri Year 1","Pre-Pri Year")</f>
        <v>Pre-Pri Year 1</v>
      </c>
      <c r="B63" s="16" t="str">
        <f>IF(Inputs!$J$5&gt;1,"Total","Total")</f>
        <v>Total</v>
      </c>
      <c r="C63" s="57" t="s">
        <v>34</v>
      </c>
      <c r="D63" s="7">
        <f t="shared" ref="D63:L63" si="32">D31+D47</f>
        <v>453.66000000000031</v>
      </c>
      <c r="E63" s="7">
        <f t="shared" si="32"/>
        <v>360.77526666666688</v>
      </c>
      <c r="F63" s="7">
        <f t="shared" si="32"/>
        <v>372.66281044444474</v>
      </c>
      <c r="G63" s="7">
        <f t="shared" si="32"/>
        <v>385.20345823777791</v>
      </c>
      <c r="H63" s="7">
        <f t="shared" si="32"/>
        <v>398.43338885704497</v>
      </c>
      <c r="I63" s="7">
        <f t="shared" si="32"/>
        <v>269.79080146971762</v>
      </c>
      <c r="J63" s="7">
        <f t="shared" si="32"/>
        <v>284.51602930321303</v>
      </c>
      <c r="K63" s="7">
        <f t="shared" si="32"/>
        <v>300.05165979398402</v>
      </c>
      <c r="L63" s="7">
        <f t="shared" si="32"/>
        <v>316.44266155083005</v>
      </c>
    </row>
    <row r="64" spans="1:12" x14ac:dyDescent="0.3">
      <c r="A64" s="10" t="str">
        <f>IF(Inputs!$J$5&gt;1,"Pre-Pri Year 2","")</f>
        <v>Pre-Pri Year 2</v>
      </c>
      <c r="B64" s="16" t="str">
        <f>IF(Inputs!$J$5&gt;1,"Male","")</f>
        <v>Male</v>
      </c>
      <c r="C64" s="57" t="s">
        <v>34</v>
      </c>
      <c r="D64" s="7">
        <f t="shared" ref="D64:L64" si="33">D32+D48</f>
        <v>125.4</v>
      </c>
      <c r="E64" s="7">
        <f t="shared" si="33"/>
        <v>335.69760000000048</v>
      </c>
      <c r="F64" s="7">
        <f t="shared" si="33"/>
        <v>375.82004281481517</v>
      </c>
      <c r="G64" s="7">
        <f t="shared" si="33"/>
        <v>390.84226503407444</v>
      </c>
      <c r="H64" s="7">
        <f t="shared" si="33"/>
        <v>406.8985597122221</v>
      </c>
      <c r="I64" s="7">
        <f t="shared" si="33"/>
        <v>316.07566863360319</v>
      </c>
      <c r="J64" s="7">
        <f t="shared" si="33"/>
        <v>336.7558196447302</v>
      </c>
      <c r="K64" s="7">
        <f t="shared" si="33"/>
        <v>358.7655783847041</v>
      </c>
      <c r="L64" s="7">
        <f t="shared" si="33"/>
        <v>314.48135769592074</v>
      </c>
    </row>
    <row r="65" spans="1:17" x14ac:dyDescent="0.3">
      <c r="A65" s="10" t="str">
        <f>IF(Inputs!$J$5=3,"Pre-Pri Year 3","")</f>
        <v>Pre-Pri Year 3</v>
      </c>
      <c r="B65" s="16" t="str">
        <f>IF(Inputs!$J$5=3,"Male","")</f>
        <v>Male</v>
      </c>
      <c r="C65" s="57" t="s">
        <v>34</v>
      </c>
      <c r="D65" s="7">
        <f t="shared" ref="D65:L65" si="34">D33+D49</f>
        <v>72</v>
      </c>
      <c r="E65" s="7">
        <f t="shared" si="34"/>
        <v>72</v>
      </c>
      <c r="F65" s="7">
        <f t="shared" si="34"/>
        <v>227.75097355555584</v>
      </c>
      <c r="G65" s="7">
        <f t="shared" si="34"/>
        <v>349.6333643022229</v>
      </c>
      <c r="H65" s="7">
        <f t="shared" si="34"/>
        <v>372.54490318444488</v>
      </c>
      <c r="I65" s="7">
        <f t="shared" si="34"/>
        <v>321.24788974734599</v>
      </c>
      <c r="J65" s="7">
        <f t="shared" si="34"/>
        <v>376.50272229353544</v>
      </c>
      <c r="K65" s="7">
        <f t="shared" si="34"/>
        <v>344.06810439833009</v>
      </c>
      <c r="L65" s="7">
        <f t="shared" si="34"/>
        <v>399.8068878538254</v>
      </c>
    </row>
    <row r="66" spans="1:17" x14ac:dyDescent="0.3">
      <c r="A66" s="10" t="s">
        <v>73</v>
      </c>
      <c r="B66" s="16" t="s">
        <v>13</v>
      </c>
      <c r="C66" s="57" t="s">
        <v>34</v>
      </c>
      <c r="D66" s="29">
        <f>D57+D58+D59</f>
        <v>341.72222222222251</v>
      </c>
      <c r="E66" s="29">
        <f t="shared" ref="E66:L66" si="35">E57+E58+E59</f>
        <v>401.49771111111153</v>
      </c>
      <c r="F66" s="29">
        <f t="shared" si="35"/>
        <v>527.54075288888964</v>
      </c>
      <c r="G66" s="29">
        <f t="shared" si="35"/>
        <v>575.921252913334</v>
      </c>
      <c r="H66" s="29">
        <f t="shared" si="35"/>
        <v>601.41615484855583</v>
      </c>
      <c r="I66" s="29">
        <f t="shared" si="35"/>
        <v>505.51558416004394</v>
      </c>
      <c r="J66" s="29">
        <f t="shared" si="35"/>
        <v>534.21291395181288</v>
      </c>
      <c r="K66" s="29">
        <f t="shared" si="35"/>
        <v>502.54713063070193</v>
      </c>
      <c r="L66" s="29">
        <f t="shared" si="35"/>
        <v>490.76698958300562</v>
      </c>
      <c r="N66" s="13" t="s">
        <v>221</v>
      </c>
    </row>
    <row r="67" spans="1:17" x14ac:dyDescent="0.3">
      <c r="A67" s="10" t="s">
        <v>73</v>
      </c>
      <c r="B67" s="16" t="s">
        <v>14</v>
      </c>
      <c r="C67" s="57" t="s">
        <v>34</v>
      </c>
      <c r="D67" s="29">
        <f>D60+D61+D62</f>
        <v>309.33777777777789</v>
      </c>
      <c r="E67" s="29">
        <f t="shared" ref="E67:L67" si="36">E60+E61+E62</f>
        <v>366.97515555555583</v>
      </c>
      <c r="F67" s="29">
        <f t="shared" si="36"/>
        <v>448.693073925926</v>
      </c>
      <c r="G67" s="29">
        <f t="shared" si="36"/>
        <v>549.7578346607412</v>
      </c>
      <c r="H67" s="29">
        <f t="shared" si="36"/>
        <v>576.46069690515606</v>
      </c>
      <c r="I67" s="29">
        <f t="shared" si="36"/>
        <v>401.5987756906228</v>
      </c>
      <c r="J67" s="29">
        <f t="shared" si="36"/>
        <v>463.56165728966585</v>
      </c>
      <c r="K67" s="29">
        <f t="shared" si="36"/>
        <v>500.33821194631628</v>
      </c>
      <c r="L67" s="29">
        <f t="shared" si="36"/>
        <v>539.96391751757051</v>
      </c>
    </row>
    <row r="68" spans="1:17" x14ac:dyDescent="0.3">
      <c r="A68" s="10" t="s">
        <v>73</v>
      </c>
      <c r="B68" s="16" t="s">
        <v>18</v>
      </c>
      <c r="C68" s="57" t="s">
        <v>34</v>
      </c>
      <c r="D68" s="29">
        <f>D63+D64+D65</f>
        <v>651.06000000000029</v>
      </c>
      <c r="E68" s="29">
        <f t="shared" ref="E68:L68" si="37">E63+E64+E65</f>
        <v>768.47286666666741</v>
      </c>
      <c r="F68" s="29">
        <f t="shared" si="37"/>
        <v>976.23382681481576</v>
      </c>
      <c r="G68" s="29">
        <f t="shared" si="37"/>
        <v>1125.6790875740753</v>
      </c>
      <c r="H68" s="29">
        <f t="shared" si="37"/>
        <v>1177.8768517537119</v>
      </c>
      <c r="I68" s="29">
        <f t="shared" si="37"/>
        <v>907.1143598506668</v>
      </c>
      <c r="J68" s="29">
        <f t="shared" si="37"/>
        <v>997.77457124147872</v>
      </c>
      <c r="K68" s="29">
        <f t="shared" si="37"/>
        <v>1002.8853425770182</v>
      </c>
      <c r="L68" s="29">
        <f t="shared" si="37"/>
        <v>1030.7309071005761</v>
      </c>
      <c r="N68" t="s">
        <v>13</v>
      </c>
      <c r="O68" t="str">
        <f>"1 new "&amp;Semantics!B7&amp;" for"</f>
        <v>1 new Caregiver for</v>
      </c>
      <c r="P68" s="86">
        <f>'Policy Decisions'!C50</f>
        <v>30</v>
      </c>
      <c r="Q68" t="s">
        <v>53</v>
      </c>
    </row>
    <row r="69" spans="1:17" x14ac:dyDescent="0.3">
      <c r="N69" t="s">
        <v>14</v>
      </c>
      <c r="O69" t="str">
        <f>"1 new "&amp;Semantics!B7&amp;" for"</f>
        <v>1 new Caregiver for</v>
      </c>
      <c r="P69" s="86">
        <f>'Policy Decisions'!C51</f>
        <v>30</v>
      </c>
      <c r="Q69" t="s">
        <v>53</v>
      </c>
    </row>
    <row r="70" spans="1:17" x14ac:dyDescent="0.3">
      <c r="A70" s="3" t="str">
        <f>"Additional "&amp;Semantics!B7&amp;"s - Public"</f>
        <v>Additional Caregivers - Public</v>
      </c>
      <c r="B70" s="3"/>
    </row>
    <row r="71" spans="1:17" x14ac:dyDescent="0.3">
      <c r="C71" s="28" t="s">
        <v>76</v>
      </c>
      <c r="N71" s="13" t="s">
        <v>222</v>
      </c>
    </row>
    <row r="72" spans="1:17" x14ac:dyDescent="0.3">
      <c r="A72" s="10" t="s">
        <v>124</v>
      </c>
      <c r="B72" s="10" t="s">
        <v>51</v>
      </c>
      <c r="C72" s="10">
        <f>Inputs!$F$5</f>
        <v>2021</v>
      </c>
      <c r="D72" s="10">
        <f>C72+1</f>
        <v>2022</v>
      </c>
      <c r="E72" s="10">
        <f t="shared" ref="E72:L72" si="38">D72+1</f>
        <v>2023</v>
      </c>
      <c r="F72" s="10">
        <f t="shared" si="38"/>
        <v>2024</v>
      </c>
      <c r="G72" s="10">
        <f t="shared" si="38"/>
        <v>2025</v>
      </c>
      <c r="H72" s="10">
        <f t="shared" si="38"/>
        <v>2026</v>
      </c>
      <c r="I72" s="10">
        <f t="shared" si="38"/>
        <v>2027</v>
      </c>
      <c r="J72" s="10">
        <f t="shared" si="38"/>
        <v>2028</v>
      </c>
      <c r="K72" s="10">
        <f t="shared" si="38"/>
        <v>2029</v>
      </c>
      <c r="L72" s="10">
        <f t="shared" si="38"/>
        <v>2030</v>
      </c>
      <c r="N72" s="13"/>
    </row>
    <row r="73" spans="1:17" x14ac:dyDescent="0.3">
      <c r="A73" s="10" t="str">
        <f>IF(Inputs!$J$5&gt;1,"Pre-Pri Year 1","Pre-Pri Year")</f>
        <v>Pre-Pri Year 1</v>
      </c>
      <c r="B73" s="16" t="str">
        <f>IF(Inputs!$J$5&gt;1,"Male","Male")</f>
        <v>Male</v>
      </c>
      <c r="C73" s="57">
        <f>Inputs!M55</f>
        <v>1251</v>
      </c>
      <c r="D73" s="7">
        <f>D8/$P$73</f>
        <v>218.72222222222248</v>
      </c>
      <c r="E73" s="7">
        <f t="shared" ref="E73:L73" si="39">E8/$P$73</f>
        <v>120.29722222222227</v>
      </c>
      <c r="F73" s="7">
        <f t="shared" si="39"/>
        <v>126.31208333333349</v>
      </c>
      <c r="G73" s="7">
        <f t="shared" si="39"/>
        <v>132.62768750000018</v>
      </c>
      <c r="H73" s="7">
        <f t="shared" si="39"/>
        <v>139.25907187500033</v>
      </c>
      <c r="I73" s="7">
        <f t="shared" si="39"/>
        <v>146.22202546875039</v>
      </c>
      <c r="J73" s="7">
        <f t="shared" si="39"/>
        <v>153.53312674218776</v>
      </c>
      <c r="K73" s="7">
        <f t="shared" si="39"/>
        <v>161.20978307929721</v>
      </c>
      <c r="L73" s="7">
        <f t="shared" si="39"/>
        <v>169.27027223326203</v>
      </c>
      <c r="N73" t="s">
        <v>13</v>
      </c>
      <c r="O73" t="str">
        <f>"1 new "&amp;Semantics!B7&amp;" for"</f>
        <v>1 new Caregiver for</v>
      </c>
      <c r="P73" s="81">
        <f>P68*(1-Inputs!$J$10)</f>
        <v>27</v>
      </c>
      <c r="Q73" t="s">
        <v>53</v>
      </c>
    </row>
    <row r="74" spans="1:17" x14ac:dyDescent="0.3">
      <c r="A74" s="10" t="str">
        <f>IF(Inputs!$J$5&gt;1,"Pre-Pri Year 2","")</f>
        <v>Pre-Pri Year 2</v>
      </c>
      <c r="B74" s="16" t="str">
        <f>IF(Inputs!$J$5&gt;1,"Male","")</f>
        <v>Male</v>
      </c>
      <c r="C74" s="57">
        <f>Inputs!M56</f>
        <v>1754</v>
      </c>
      <c r="D74" s="7">
        <f t="shared" ref="D74:L74" si="40">D9/$P$73</f>
        <v>0</v>
      </c>
      <c r="E74" s="7">
        <f t="shared" si="40"/>
        <v>158.20048888888925</v>
      </c>
      <c r="F74" s="7">
        <f t="shared" si="40"/>
        <v>146.16661200000036</v>
      </c>
      <c r="G74" s="7">
        <f t="shared" si="40"/>
        <v>152.62613072000008</v>
      </c>
      <c r="H74" s="7">
        <f t="shared" si="40"/>
        <v>161.01492566599984</v>
      </c>
      <c r="I74" s="7">
        <f t="shared" si="40"/>
        <v>169.96919134944079</v>
      </c>
      <c r="J74" s="7">
        <f t="shared" si="40"/>
        <v>179.41157820349866</v>
      </c>
      <c r="K74" s="7">
        <f t="shared" si="40"/>
        <v>189.36102440577815</v>
      </c>
      <c r="L74" s="7">
        <f t="shared" si="40"/>
        <v>132.13569294396547</v>
      </c>
      <c r="N74" t="s">
        <v>14</v>
      </c>
      <c r="O74" t="str">
        <f>"1 new "&amp;Semantics!B7&amp;" for"</f>
        <v>1 new Caregiver for</v>
      </c>
      <c r="P74" s="81">
        <f>P69*(1-Inputs!$J$11)</f>
        <v>27</v>
      </c>
      <c r="Q74" t="s">
        <v>53</v>
      </c>
    </row>
    <row r="75" spans="1:17" x14ac:dyDescent="0.3">
      <c r="A75" s="10" t="str">
        <f>IF(Inputs!$J$5=3,"Pre-Pri Year 3","")</f>
        <v>Pre-Pri Year 3</v>
      </c>
      <c r="B75" s="16" t="str">
        <f>IF(Inputs!$J$5=3,"Male","")</f>
        <v>Male</v>
      </c>
      <c r="C75" s="57">
        <f>Inputs!M57</f>
        <v>1125</v>
      </c>
      <c r="D75" s="7">
        <f t="shared" ref="D75:L75" si="41">D10/$P$73</f>
        <v>0</v>
      </c>
      <c r="E75" s="7">
        <f t="shared" si="41"/>
        <v>0</v>
      </c>
      <c r="F75" s="7">
        <f t="shared" si="41"/>
        <v>132.06205755555587</v>
      </c>
      <c r="G75" s="7">
        <f t="shared" si="41"/>
        <v>167.6674346933338</v>
      </c>
      <c r="H75" s="7">
        <f t="shared" si="41"/>
        <v>178.14215730755569</v>
      </c>
      <c r="I75" s="7">
        <f t="shared" si="41"/>
        <v>189.32436734185279</v>
      </c>
      <c r="J75" s="7">
        <f t="shared" si="41"/>
        <v>201.2682090061264</v>
      </c>
      <c r="K75" s="7">
        <f t="shared" si="41"/>
        <v>151.97632314562657</v>
      </c>
      <c r="L75" s="7">
        <f t="shared" si="41"/>
        <v>189.36102440577815</v>
      </c>
    </row>
    <row r="76" spans="1:17" x14ac:dyDescent="0.3">
      <c r="A76" s="10" t="str">
        <f>IF(Inputs!$J$5&gt;1,"Pre-Pri Year 1","Pre-Pri Year")</f>
        <v>Pre-Pri Year 1</v>
      </c>
      <c r="B76" s="16" t="str">
        <f>IF(Inputs!$J$5&gt;1,"Female","Female")</f>
        <v>Female</v>
      </c>
      <c r="C76" s="57">
        <f>Inputs!M58</f>
        <v>756</v>
      </c>
      <c r="D76" s="7">
        <f>D13/$P$74</f>
        <v>92.337777777777873</v>
      </c>
      <c r="E76" s="7">
        <f t="shared" ref="E76:L76" si="42">E13/$P$74</f>
        <v>97.878044444444612</v>
      </c>
      <c r="F76" s="7">
        <f t="shared" si="42"/>
        <v>103.75072711111123</v>
      </c>
      <c r="G76" s="7">
        <f t="shared" si="42"/>
        <v>109.97577073777776</v>
      </c>
      <c r="H76" s="7">
        <f t="shared" si="42"/>
        <v>116.57431698204461</v>
      </c>
      <c r="I76" s="7">
        <f t="shared" si="42"/>
        <v>123.56877600096723</v>
      </c>
      <c r="J76" s="7">
        <f t="shared" si="42"/>
        <v>130.98290256102524</v>
      </c>
      <c r="K76" s="7">
        <f t="shared" si="42"/>
        <v>138.8418767146868</v>
      </c>
      <c r="L76" s="7">
        <f t="shared" si="42"/>
        <v>147.17238931756799</v>
      </c>
    </row>
    <row r="77" spans="1:17" x14ac:dyDescent="0.3">
      <c r="A77" s="10" t="str">
        <f>IF(Inputs!$J$5&gt;1,"Pre-Pri Year 2","")</f>
        <v>Pre-Pri Year 2</v>
      </c>
      <c r="B77" s="16" t="str">
        <f>IF(Inputs!$J$5&gt;1,"Female","")</f>
        <v>Female</v>
      </c>
      <c r="C77" s="57">
        <f>Inputs!M59</f>
        <v>456</v>
      </c>
      <c r="D77" s="7">
        <f t="shared" ref="D77:L77" si="43">D14/$P$74</f>
        <v>0</v>
      </c>
      <c r="E77" s="7">
        <f t="shared" si="43"/>
        <v>52.097111111111225</v>
      </c>
      <c r="F77" s="7">
        <f t="shared" si="43"/>
        <v>104.25343081481481</v>
      </c>
      <c r="G77" s="7">
        <f t="shared" si="43"/>
        <v>112.81613431407432</v>
      </c>
      <c r="H77" s="7">
        <f t="shared" si="43"/>
        <v>120.48363404622231</v>
      </c>
      <c r="I77" s="7">
        <f t="shared" si="43"/>
        <v>146.10647728416237</v>
      </c>
      <c r="J77" s="7">
        <f t="shared" si="43"/>
        <v>157.34424144123153</v>
      </c>
      <c r="K77" s="7">
        <f t="shared" si="43"/>
        <v>169.40455397892597</v>
      </c>
      <c r="L77" s="7">
        <f t="shared" si="43"/>
        <v>182.34566475195527</v>
      </c>
    </row>
    <row r="78" spans="1:17" x14ac:dyDescent="0.3">
      <c r="A78" s="10" t="str">
        <f>IF(Inputs!$J$5=3,"Pre-Pri Year 3","")</f>
        <v>Pre-Pri Year 3</v>
      </c>
      <c r="B78" s="16" t="str">
        <f>IF(Inputs!$J$5=3,"Female","")</f>
        <v>Female</v>
      </c>
      <c r="C78" s="57">
        <f>Inputs!M60</f>
        <v>854</v>
      </c>
      <c r="D78" s="7">
        <f t="shared" ref="D78:L78" si="44">D15/$P$74</f>
        <v>0</v>
      </c>
      <c r="E78" s="7">
        <f t="shared" si="44"/>
        <v>0</v>
      </c>
      <c r="F78" s="7">
        <f t="shared" si="44"/>
        <v>23.688915999999963</v>
      </c>
      <c r="G78" s="7">
        <f t="shared" si="44"/>
        <v>109.96592960888908</v>
      </c>
      <c r="H78" s="7">
        <f t="shared" si="44"/>
        <v>122.4027458768892</v>
      </c>
      <c r="I78" s="7">
        <f t="shared" si="44"/>
        <v>131.92352240549317</v>
      </c>
      <c r="J78" s="7">
        <f t="shared" si="44"/>
        <v>175.23451328740904</v>
      </c>
      <c r="K78" s="7">
        <f t="shared" si="44"/>
        <v>192.09178125270356</v>
      </c>
      <c r="L78" s="7">
        <f t="shared" si="44"/>
        <v>210.44586344804728</v>
      </c>
    </row>
    <row r="79" spans="1:17" x14ac:dyDescent="0.3">
      <c r="A79" s="10" t="str">
        <f>IF(Inputs!$J$5&gt;1,"Pre-Pri Year 1","Pre-Pri Year")</f>
        <v>Pre-Pri Year 1</v>
      </c>
      <c r="B79" s="16" t="str">
        <f>IF(Inputs!$J$5&gt;1,"Total","Total")</f>
        <v>Total</v>
      </c>
      <c r="C79" s="57">
        <f>C73+C76</f>
        <v>2007</v>
      </c>
      <c r="D79" s="19">
        <f>D73+D76</f>
        <v>311.06000000000034</v>
      </c>
      <c r="E79" s="19">
        <f t="shared" ref="E79:L79" si="45">E73+E76</f>
        <v>218.17526666666689</v>
      </c>
      <c r="F79" s="19">
        <f t="shared" si="45"/>
        <v>230.06281044444472</v>
      </c>
      <c r="G79" s="19">
        <f t="shared" si="45"/>
        <v>242.60345823777794</v>
      </c>
      <c r="H79" s="19">
        <f t="shared" si="45"/>
        <v>255.83338885704495</v>
      </c>
      <c r="I79" s="19">
        <f t="shared" si="45"/>
        <v>269.79080146971762</v>
      </c>
      <c r="J79" s="19">
        <f t="shared" si="45"/>
        <v>284.51602930321303</v>
      </c>
      <c r="K79" s="19">
        <f t="shared" si="45"/>
        <v>300.05165979398402</v>
      </c>
      <c r="L79" s="19">
        <f t="shared" si="45"/>
        <v>316.44266155083005</v>
      </c>
    </row>
    <row r="80" spans="1:17" x14ac:dyDescent="0.3">
      <c r="A80" s="10" t="str">
        <f>IF(Inputs!$J$5&gt;1,"Pre-Pri Year 2","")</f>
        <v>Pre-Pri Year 2</v>
      </c>
      <c r="B80" s="16" t="str">
        <f>IF(Inputs!$J$5&gt;1,"Male","")</f>
        <v>Male</v>
      </c>
      <c r="C80" s="57">
        <f t="shared" ref="C80:L80" si="46">C74+C77</f>
        <v>2210</v>
      </c>
      <c r="D80" s="19">
        <f t="shared" si="46"/>
        <v>0</v>
      </c>
      <c r="E80" s="19">
        <f t="shared" si="46"/>
        <v>210.29760000000047</v>
      </c>
      <c r="F80" s="19">
        <f t="shared" si="46"/>
        <v>250.42004281481516</v>
      </c>
      <c r="G80" s="19">
        <f t="shared" si="46"/>
        <v>265.44226503407441</v>
      </c>
      <c r="H80" s="19">
        <f t="shared" si="46"/>
        <v>281.49855971222212</v>
      </c>
      <c r="I80" s="19">
        <f t="shared" si="46"/>
        <v>316.07566863360319</v>
      </c>
      <c r="J80" s="19">
        <f t="shared" si="46"/>
        <v>336.7558196447302</v>
      </c>
      <c r="K80" s="19">
        <f t="shared" si="46"/>
        <v>358.7655783847041</v>
      </c>
      <c r="L80" s="19">
        <f t="shared" si="46"/>
        <v>314.48135769592074</v>
      </c>
    </row>
    <row r="81" spans="1:17" x14ac:dyDescent="0.3">
      <c r="A81" s="10" t="str">
        <f>IF(Inputs!$J$5=3,"Pre-Pri Year 3","")</f>
        <v>Pre-Pri Year 3</v>
      </c>
      <c r="B81" s="16" t="str">
        <f>IF(Inputs!$J$5=3,"Male","")</f>
        <v>Male</v>
      </c>
      <c r="C81" s="57">
        <f t="shared" ref="C81:L81" si="47">C75+C78</f>
        <v>1979</v>
      </c>
      <c r="D81" s="19">
        <f t="shared" si="47"/>
        <v>0</v>
      </c>
      <c r="E81" s="19">
        <f t="shared" si="47"/>
        <v>0</v>
      </c>
      <c r="F81" s="19">
        <f t="shared" si="47"/>
        <v>155.75097355555584</v>
      </c>
      <c r="G81" s="19">
        <f t="shared" si="47"/>
        <v>277.6333643022229</v>
      </c>
      <c r="H81" s="19">
        <f t="shared" si="47"/>
        <v>300.54490318444488</v>
      </c>
      <c r="I81" s="19">
        <f t="shared" si="47"/>
        <v>321.24788974734599</v>
      </c>
      <c r="J81" s="19">
        <f t="shared" si="47"/>
        <v>376.50272229353544</v>
      </c>
      <c r="K81" s="19">
        <f t="shared" si="47"/>
        <v>344.06810439833009</v>
      </c>
      <c r="L81" s="19">
        <f t="shared" si="47"/>
        <v>399.8068878538254</v>
      </c>
    </row>
    <row r="82" spans="1:17" x14ac:dyDescent="0.3">
      <c r="A82" s="10" t="s">
        <v>73</v>
      </c>
      <c r="B82" s="16" t="s">
        <v>13</v>
      </c>
      <c r="C82" s="57">
        <f>C73+C74+C75</f>
        <v>4130</v>
      </c>
      <c r="D82" s="29">
        <f>D73+D74+D75</f>
        <v>218.72222222222248</v>
      </c>
      <c r="E82" s="29">
        <f t="shared" ref="E82:L82" si="48">E73+E74+E75</f>
        <v>278.49771111111153</v>
      </c>
      <c r="F82" s="29">
        <f t="shared" si="48"/>
        <v>404.54075288888976</v>
      </c>
      <c r="G82" s="29">
        <f t="shared" si="48"/>
        <v>452.92125291333406</v>
      </c>
      <c r="H82" s="29">
        <f t="shared" si="48"/>
        <v>478.41615484855589</v>
      </c>
      <c r="I82" s="29">
        <f t="shared" si="48"/>
        <v>505.51558416004394</v>
      </c>
      <c r="J82" s="29">
        <f t="shared" si="48"/>
        <v>534.21291395181288</v>
      </c>
      <c r="K82" s="29">
        <f t="shared" si="48"/>
        <v>502.54713063070193</v>
      </c>
      <c r="L82" s="29">
        <f t="shared" si="48"/>
        <v>490.76698958300562</v>
      </c>
    </row>
    <row r="83" spans="1:17" x14ac:dyDescent="0.3">
      <c r="A83" s="10" t="s">
        <v>73</v>
      </c>
      <c r="B83" s="16" t="s">
        <v>14</v>
      </c>
      <c r="C83" s="57">
        <f>C76+C77+C78</f>
        <v>2066</v>
      </c>
      <c r="D83" s="29">
        <f>D76+D77+D78</f>
        <v>92.337777777777873</v>
      </c>
      <c r="E83" s="29">
        <f t="shared" ref="E83:L83" si="49">E76+E77+E78</f>
        <v>149.97515555555583</v>
      </c>
      <c r="F83" s="29">
        <f t="shared" si="49"/>
        <v>231.693073925926</v>
      </c>
      <c r="G83" s="29">
        <f t="shared" si="49"/>
        <v>332.7578346607412</v>
      </c>
      <c r="H83" s="29">
        <f t="shared" si="49"/>
        <v>359.46069690515611</v>
      </c>
      <c r="I83" s="29">
        <f t="shared" si="49"/>
        <v>401.5987756906228</v>
      </c>
      <c r="J83" s="29">
        <f t="shared" si="49"/>
        <v>463.56165728966585</v>
      </c>
      <c r="K83" s="29">
        <f t="shared" si="49"/>
        <v>500.33821194631628</v>
      </c>
      <c r="L83" s="29">
        <f t="shared" si="49"/>
        <v>539.96391751757051</v>
      </c>
    </row>
    <row r="84" spans="1:17" x14ac:dyDescent="0.3">
      <c r="A84" s="10" t="s">
        <v>73</v>
      </c>
      <c r="B84" s="16" t="s">
        <v>18</v>
      </c>
      <c r="C84" s="57">
        <f>C79+C80+C81</f>
        <v>6196</v>
      </c>
      <c r="D84" s="29">
        <f>D79+D80+D81</f>
        <v>311.06000000000034</v>
      </c>
      <c r="E84" s="29">
        <f t="shared" ref="E84:L84" si="50">E79+E80+E81</f>
        <v>428.47286666666736</v>
      </c>
      <c r="F84" s="29">
        <f t="shared" si="50"/>
        <v>636.23382681481576</v>
      </c>
      <c r="G84" s="29">
        <f t="shared" si="50"/>
        <v>785.67908757407531</v>
      </c>
      <c r="H84" s="29">
        <f t="shared" si="50"/>
        <v>837.87685175371189</v>
      </c>
      <c r="I84" s="29">
        <f t="shared" si="50"/>
        <v>907.1143598506668</v>
      </c>
      <c r="J84" s="29">
        <f t="shared" si="50"/>
        <v>997.77457124147872</v>
      </c>
      <c r="K84" s="29">
        <f t="shared" si="50"/>
        <v>1002.8853425770182</v>
      </c>
      <c r="L84" s="29">
        <f t="shared" si="50"/>
        <v>1030.7309071005761</v>
      </c>
    </row>
    <row r="86" spans="1:17" x14ac:dyDescent="0.3">
      <c r="A86" s="3" t="str">
        <f>"Existing "&amp;Semantics!B7&amp;"s Gap - Public"</f>
        <v>Existing Caregivers Gap - Public</v>
      </c>
      <c r="B86" s="3"/>
    </row>
    <row r="87" spans="1:17" x14ac:dyDescent="0.3">
      <c r="C87" s="28" t="s">
        <v>77</v>
      </c>
    </row>
    <row r="88" spans="1:17" x14ac:dyDescent="0.3">
      <c r="A88" s="10" t="s">
        <v>124</v>
      </c>
      <c r="B88" s="10" t="s">
        <v>51</v>
      </c>
      <c r="C88" s="10">
        <f>Inputs!$F$5</f>
        <v>2021</v>
      </c>
      <c r="D88" s="10">
        <f>C88+1</f>
        <v>2022</v>
      </c>
      <c r="E88" s="10">
        <f t="shared" ref="E88:L88" si="51">D88+1</f>
        <v>2023</v>
      </c>
      <c r="F88" s="10">
        <f t="shared" si="51"/>
        <v>2024</v>
      </c>
      <c r="G88" s="10">
        <f t="shared" si="51"/>
        <v>2025</v>
      </c>
      <c r="H88" s="10">
        <f t="shared" si="51"/>
        <v>2026</v>
      </c>
      <c r="I88" s="10">
        <f t="shared" si="51"/>
        <v>2027</v>
      </c>
      <c r="J88" s="10">
        <f t="shared" si="51"/>
        <v>2028</v>
      </c>
      <c r="K88" s="10">
        <f t="shared" si="51"/>
        <v>2029</v>
      </c>
      <c r="L88" s="10">
        <f t="shared" si="51"/>
        <v>2030</v>
      </c>
      <c r="N88" s="13" t="s">
        <v>52</v>
      </c>
    </row>
    <row r="89" spans="1:17" x14ac:dyDescent="0.3">
      <c r="A89" s="10" t="str">
        <f>IF(Inputs!$J$5&gt;1,"Pre-Pri Year 1","Pre-Pri Year")</f>
        <v>Pre-Pri Year 1</v>
      </c>
      <c r="B89" s="16" t="str">
        <f>IF(Inputs!$J$5&gt;1,"Male","Male")</f>
        <v>Male</v>
      </c>
      <c r="C89" s="57">
        <f>Inputs!N55</f>
        <v>255</v>
      </c>
      <c r="D89" s="7">
        <f>IF($P$89&gt;0,$C$89/$P$89,"0")</f>
        <v>51</v>
      </c>
      <c r="E89" s="7">
        <f>IF($P$89&gt;1,$C$89/$P$89,"0")</f>
        <v>51</v>
      </c>
      <c r="F89" s="7">
        <f>IF($P$89&gt;2,$C$89/$P$89,"0")</f>
        <v>51</v>
      </c>
      <c r="G89" s="7">
        <f>IF($P$89&gt;3,$C$89/$P$89,"0")</f>
        <v>51</v>
      </c>
      <c r="H89" s="7">
        <f>IF($P$89&gt;4,$C$89/$P$89,"0")</f>
        <v>51</v>
      </c>
      <c r="I89" s="7" t="str">
        <f>IF($P$89&gt;5,$C$89/$P$89,"0")</f>
        <v>0</v>
      </c>
      <c r="J89" s="7" t="str">
        <f>IF($P$89&gt;6,$C$89/$P$89,"0")</f>
        <v>0</v>
      </c>
      <c r="K89" s="7" t="str">
        <f>IF($P$89&gt;7,$C$89/$P$89,"0")</f>
        <v>0</v>
      </c>
      <c r="L89" s="7" t="str">
        <f>IF($P$89&gt;8,$C$89/$P$89,"0")</f>
        <v>0</v>
      </c>
      <c r="N89" t="s">
        <v>13</v>
      </c>
      <c r="O89" t="s">
        <v>54</v>
      </c>
      <c r="P89" s="85">
        <f>'Policy Decisions'!C55</f>
        <v>5</v>
      </c>
      <c r="Q89" t="s">
        <v>24</v>
      </c>
    </row>
    <row r="90" spans="1:17" x14ac:dyDescent="0.3">
      <c r="A90" s="10" t="str">
        <f>IF(Inputs!$J$5&gt;1,"Pre-Pri Year 2","")</f>
        <v>Pre-Pri Year 2</v>
      </c>
      <c r="B90" s="16" t="str">
        <f>IF(Inputs!$J$5&gt;1,"Male","")</f>
        <v>Male</v>
      </c>
      <c r="C90" s="57">
        <f>Inputs!N56</f>
        <v>215</v>
      </c>
      <c r="D90" s="7">
        <f>IF($P$91&gt;0,$C$42/$P$43,"0")</f>
        <v>43</v>
      </c>
      <c r="E90" s="7">
        <f>IF($P$91&gt;1,$C$90/$P$91,"0")</f>
        <v>43</v>
      </c>
      <c r="F90" s="7">
        <f>IF($P$91&gt;2,$C$90/$P$91,"0")</f>
        <v>43</v>
      </c>
      <c r="G90" s="7">
        <f>IF($P$91&gt;3,$C$90/$P$91,"0")</f>
        <v>43</v>
      </c>
      <c r="H90" s="7">
        <f>IF($P$91&gt;4,$C$90/$P$91,"0")</f>
        <v>43</v>
      </c>
      <c r="I90" s="7" t="str">
        <f>IF($P$91&gt;5,$C$90/$P$91,"0")</f>
        <v>0</v>
      </c>
      <c r="J90" s="7" t="str">
        <f>IF($P$91&gt;6,$C$90/$P$91,"0")</f>
        <v>0</v>
      </c>
      <c r="K90" s="7" t="str">
        <f>IF($P$91&gt;7,$C$90/$P$91,"0")</f>
        <v>0</v>
      </c>
      <c r="L90" s="7" t="str">
        <f>IF($P$91&gt;8,$C$90/$P$91,"0")</f>
        <v>0</v>
      </c>
      <c r="N90" t="s">
        <v>14</v>
      </c>
      <c r="O90" t="s">
        <v>54</v>
      </c>
      <c r="P90" s="85">
        <f>'Policy Decisions'!C56</f>
        <v>5</v>
      </c>
      <c r="Q90" t="s">
        <v>24</v>
      </c>
    </row>
    <row r="91" spans="1:17" x14ac:dyDescent="0.3">
      <c r="A91" s="10" t="str">
        <f>IF(Inputs!$J$5=3,"Pre-Pri Year 3","")</f>
        <v>Pre-Pri Year 3</v>
      </c>
      <c r="B91" s="16" t="str">
        <f>IF(Inputs!$J$5=3,"Male","")</f>
        <v>Male</v>
      </c>
      <c r="C91" s="57">
        <f>Inputs!N57</f>
        <v>145</v>
      </c>
      <c r="D91" s="7">
        <f>IF($P$93&gt;0,$C$43/$P$45,"0")</f>
        <v>29</v>
      </c>
      <c r="E91" s="7">
        <f>IF($P$93&gt;1,$C$91/$P$93,"0")</f>
        <v>29</v>
      </c>
      <c r="F91" s="7">
        <f>IF($P$93&gt;2,$C$91/$P$93,"0")</f>
        <v>29</v>
      </c>
      <c r="G91" s="7">
        <f>IF($P$93&gt;3,$C$91/$P$93,"0")</f>
        <v>29</v>
      </c>
      <c r="H91" s="7">
        <f>IF($P$94&gt;4,$C$91/$P$94,"0")</f>
        <v>29</v>
      </c>
      <c r="I91" s="7" t="str">
        <f>IF($P$93&gt;5,$C$91/$P$93,"0")</f>
        <v>0</v>
      </c>
      <c r="J91" s="7" t="str">
        <f>IF($P$93&gt;6,$C$91/$P$93,"0")</f>
        <v>0</v>
      </c>
      <c r="K91" s="7" t="str">
        <f>IF($P$93&gt;7,$C$91/$P$93,"0")</f>
        <v>0</v>
      </c>
      <c r="L91" s="7" t="str">
        <f>IF($P$93&gt;8,$C$91/$P$93,"0")</f>
        <v>0</v>
      </c>
      <c r="N91" t="s">
        <v>13</v>
      </c>
      <c r="O91" t="s">
        <v>54</v>
      </c>
      <c r="P91" s="85">
        <f>'Policy Decisions'!C57</f>
        <v>5</v>
      </c>
      <c r="Q91" t="s">
        <v>25</v>
      </c>
    </row>
    <row r="92" spans="1:17" x14ac:dyDescent="0.3">
      <c r="A92" s="10" t="str">
        <f>IF(Inputs!$J$5&gt;1,"Pre-Pri Year 1","Pre-Pri Year")</f>
        <v>Pre-Pri Year 1</v>
      </c>
      <c r="B92" s="16" t="str">
        <f>IF(Inputs!$J$5&gt;1,"Female","Female")</f>
        <v>Female</v>
      </c>
      <c r="C92" s="57">
        <f>Inputs!N58</f>
        <v>458</v>
      </c>
      <c r="D92" s="7">
        <f>IF($P$90&gt;0,$C$44/$P$42,"0")</f>
        <v>91.6</v>
      </c>
      <c r="E92" s="7">
        <f>IF($P$90&gt;1,$C$92/$P$90,"0")</f>
        <v>91.6</v>
      </c>
      <c r="F92" s="7">
        <f>IF($P$90&gt;2,$C$92/$P$90,"0")</f>
        <v>91.6</v>
      </c>
      <c r="G92" s="7">
        <f>IF($P$90&gt;3,$C$92/$P$90,"0")</f>
        <v>91.6</v>
      </c>
      <c r="H92" s="7">
        <f>IF($P$90&gt;4,$C$92/$P$90,"0")</f>
        <v>91.6</v>
      </c>
      <c r="I92" s="7" t="str">
        <f>IF($P$90&gt;5,$C$92/$P$90,"0")</f>
        <v>0</v>
      </c>
      <c r="J92" s="7" t="str">
        <f>IF($P$90&gt;6,$C$92/$P$90,"0")</f>
        <v>0</v>
      </c>
      <c r="K92" s="7" t="str">
        <f>IF($P$90&gt;7,$C$92/$P$90,"0")</f>
        <v>0</v>
      </c>
      <c r="L92" s="7" t="str">
        <f>IF($P$90&gt;8,$C$92/$P$90,"0")</f>
        <v>0</v>
      </c>
      <c r="N92" t="s">
        <v>14</v>
      </c>
      <c r="O92" t="s">
        <v>54</v>
      </c>
      <c r="P92" s="85">
        <f>'Policy Decisions'!C58</f>
        <v>5</v>
      </c>
      <c r="Q92" t="s">
        <v>25</v>
      </c>
    </row>
    <row r="93" spans="1:17" x14ac:dyDescent="0.3">
      <c r="A93" s="10" t="str">
        <f>IF(Inputs!$J$5&gt;1,"Pre-Pri Year 2","")</f>
        <v>Pre-Pri Year 2</v>
      </c>
      <c r="B93" s="16" t="str">
        <f>IF(Inputs!$J$5&gt;1,"Female","")</f>
        <v>Female</v>
      </c>
      <c r="C93" s="57">
        <f>Inputs!N59</f>
        <v>412</v>
      </c>
      <c r="D93" s="7">
        <f>IF($P$92&gt;0,$C$45/$P$44,"0")</f>
        <v>82.4</v>
      </c>
      <c r="E93" s="7">
        <f>IF($P$92&gt;1,$C$93/$P$92,"0")</f>
        <v>82.4</v>
      </c>
      <c r="F93" s="7">
        <f>IF($P$92&gt;2,$C$93/$P$92,"0")</f>
        <v>82.4</v>
      </c>
      <c r="G93" s="7">
        <f>IF($P$92&gt;3,$C$93/$P$92,"0")</f>
        <v>82.4</v>
      </c>
      <c r="H93" s="7">
        <f>IF($P$92&gt;4,$C$93/$P$92,"0")</f>
        <v>82.4</v>
      </c>
      <c r="I93" s="7" t="str">
        <f>IF($P$92&gt;5,$C$93/$P$92,"0")</f>
        <v>0</v>
      </c>
      <c r="J93" s="7" t="str">
        <f>IF($P$92&gt;6,$C$93/$P$91,"0")</f>
        <v>0</v>
      </c>
      <c r="K93" s="7" t="str">
        <f>IF($P$92&gt;7,$C$93/$P$92,"0")</f>
        <v>0</v>
      </c>
      <c r="L93" s="7" t="str">
        <f>IF($P$92&gt;8,$C$93/$P$92,"0")</f>
        <v>0</v>
      </c>
      <c r="N93" t="s">
        <v>13</v>
      </c>
      <c r="O93" t="s">
        <v>54</v>
      </c>
      <c r="P93" s="85">
        <f>'Policy Decisions'!C59</f>
        <v>5</v>
      </c>
      <c r="Q93" t="s">
        <v>26</v>
      </c>
    </row>
    <row r="94" spans="1:17" x14ac:dyDescent="0.3">
      <c r="A94" s="10" t="str">
        <f>IF(Inputs!$J$5=3,"Pre-Pri Year 3","")</f>
        <v>Pre-Pri Year 3</v>
      </c>
      <c r="B94" s="16" t="str">
        <f>IF(Inputs!$J$5=3,"Female","")</f>
        <v>Female</v>
      </c>
      <c r="C94" s="57">
        <f>Inputs!N60</f>
        <v>215</v>
      </c>
      <c r="D94" s="7">
        <f>IF($P$94&gt;0,$C$46/$P$46,"0")</f>
        <v>43</v>
      </c>
      <c r="E94" s="7">
        <f>IF($P$94&gt;1,$C$94/$P$94,"0")</f>
        <v>43</v>
      </c>
      <c r="F94" s="7">
        <f>IF($P$94&gt;2,$C$94/$P$94,"0")</f>
        <v>43</v>
      </c>
      <c r="G94" s="7">
        <f>IF($P$94&gt;3,$C$94/$P$94,"0")</f>
        <v>43</v>
      </c>
      <c r="H94" s="7">
        <f>IF($P$94&gt;4,$C$94/$P$94,"0")</f>
        <v>43</v>
      </c>
      <c r="I94" s="7" t="str">
        <f>IF($P$94&gt;5,$C$94/$P$94,"0")</f>
        <v>0</v>
      </c>
      <c r="J94" s="7" t="str">
        <f>IF($P$94&gt;6,$C$94/$P$94,"0")</f>
        <v>0</v>
      </c>
      <c r="K94" s="7" t="str">
        <f>IF($P$94&gt;7,$C$94/$P$94,"0")</f>
        <v>0</v>
      </c>
      <c r="L94" s="7" t="str">
        <f>IF($P$94&gt;8,$C$94/$P$94,"0")</f>
        <v>0</v>
      </c>
      <c r="N94" t="s">
        <v>14</v>
      </c>
      <c r="O94" t="s">
        <v>54</v>
      </c>
      <c r="P94" s="85">
        <f>'Policy Decisions'!C60</f>
        <v>5</v>
      </c>
      <c r="Q94" t="s">
        <v>26</v>
      </c>
    </row>
    <row r="95" spans="1:17" x14ac:dyDescent="0.3">
      <c r="A95" s="10" t="str">
        <f>IF(Inputs!$J$5&gt;1,"Pre-Pri Year 1","Pre-Pri Year")</f>
        <v>Pre-Pri Year 1</v>
      </c>
      <c r="B95" s="16" t="str">
        <f>IF(Inputs!$J$5&gt;1,"Total","Total")</f>
        <v>Total</v>
      </c>
      <c r="C95" s="57">
        <f>C89+C92</f>
        <v>713</v>
      </c>
      <c r="D95" s="19">
        <f>D89+D92</f>
        <v>142.6</v>
      </c>
      <c r="E95" s="19">
        <f t="shared" ref="E95:L95" si="52">E89+E92</f>
        <v>142.6</v>
      </c>
      <c r="F95" s="19">
        <f t="shared" si="52"/>
        <v>142.6</v>
      </c>
      <c r="G95" s="19">
        <f t="shared" si="52"/>
        <v>142.6</v>
      </c>
      <c r="H95" s="19">
        <f t="shared" si="52"/>
        <v>142.6</v>
      </c>
      <c r="I95" s="19">
        <f t="shared" si="52"/>
        <v>0</v>
      </c>
      <c r="J95" s="19">
        <f t="shared" si="52"/>
        <v>0</v>
      </c>
      <c r="K95" s="19">
        <f>K89+K92</f>
        <v>0</v>
      </c>
      <c r="L95" s="19">
        <f t="shared" si="52"/>
        <v>0</v>
      </c>
    </row>
    <row r="96" spans="1:17" x14ac:dyDescent="0.3">
      <c r="A96" s="10" t="str">
        <f>IF(Inputs!$J$5&gt;1,"Pre-Pri Year 2","")</f>
        <v>Pre-Pri Year 2</v>
      </c>
      <c r="B96" s="16" t="str">
        <f>IF(Inputs!$J$5&gt;1,"Male","")</f>
        <v>Male</v>
      </c>
      <c r="C96" s="57">
        <f t="shared" ref="C96:L96" si="53">C90+C93</f>
        <v>627</v>
      </c>
      <c r="D96" s="19">
        <f t="shared" si="53"/>
        <v>125.4</v>
      </c>
      <c r="E96" s="19">
        <f t="shared" si="53"/>
        <v>125.4</v>
      </c>
      <c r="F96" s="19">
        <f t="shared" si="53"/>
        <v>125.4</v>
      </c>
      <c r="G96" s="19">
        <f t="shared" si="53"/>
        <v>125.4</v>
      </c>
      <c r="H96" s="19">
        <f t="shared" si="53"/>
        <v>125.4</v>
      </c>
      <c r="I96" s="19">
        <f t="shared" si="53"/>
        <v>0</v>
      </c>
      <c r="J96" s="19">
        <f t="shared" si="53"/>
        <v>0</v>
      </c>
      <c r="K96" s="19">
        <f>K90+K93</f>
        <v>0</v>
      </c>
      <c r="L96" s="19">
        <f t="shared" si="53"/>
        <v>0</v>
      </c>
    </row>
    <row r="97" spans="1:12" x14ac:dyDescent="0.3">
      <c r="A97" s="10" t="str">
        <f>IF(Inputs!$J$5=3,"Pre-Pri Year 3","")</f>
        <v>Pre-Pri Year 3</v>
      </c>
      <c r="B97" s="16" t="str">
        <f>IF(Inputs!$J$5=3,"Male","")</f>
        <v>Male</v>
      </c>
      <c r="C97" s="57">
        <f t="shared" ref="C97:L97" si="54">C91+C94</f>
        <v>360</v>
      </c>
      <c r="D97" s="19">
        <f t="shared" si="54"/>
        <v>72</v>
      </c>
      <c r="E97" s="19">
        <f t="shared" si="54"/>
        <v>72</v>
      </c>
      <c r="F97" s="19">
        <f t="shared" si="54"/>
        <v>72</v>
      </c>
      <c r="G97" s="19">
        <f t="shared" si="54"/>
        <v>72</v>
      </c>
      <c r="H97" s="19">
        <f t="shared" si="54"/>
        <v>72</v>
      </c>
      <c r="I97" s="19">
        <f t="shared" si="54"/>
        <v>0</v>
      </c>
      <c r="J97" s="19">
        <f t="shared" si="54"/>
        <v>0</v>
      </c>
      <c r="K97" s="19">
        <f t="shared" si="54"/>
        <v>0</v>
      </c>
      <c r="L97" s="19">
        <f t="shared" si="54"/>
        <v>0</v>
      </c>
    </row>
    <row r="98" spans="1:12" x14ac:dyDescent="0.3">
      <c r="A98" s="10" t="s">
        <v>73</v>
      </c>
      <c r="B98" s="16" t="s">
        <v>13</v>
      </c>
      <c r="C98" s="57">
        <f>C89+C90+C91</f>
        <v>615</v>
      </c>
      <c r="D98" s="29">
        <f>D89+D90+D91</f>
        <v>123</v>
      </c>
      <c r="E98" s="29">
        <f t="shared" ref="E98:L98" si="55">E89+E90+E91</f>
        <v>123</v>
      </c>
      <c r="F98" s="29">
        <f t="shared" si="55"/>
        <v>123</v>
      </c>
      <c r="G98" s="29">
        <f t="shared" si="55"/>
        <v>123</v>
      </c>
      <c r="H98" s="29">
        <f t="shared" si="55"/>
        <v>123</v>
      </c>
      <c r="I98" s="29">
        <f t="shared" si="55"/>
        <v>0</v>
      </c>
      <c r="J98" s="29">
        <f t="shared" si="55"/>
        <v>0</v>
      </c>
      <c r="K98" s="29">
        <f t="shared" si="55"/>
        <v>0</v>
      </c>
      <c r="L98" s="29">
        <f t="shared" si="55"/>
        <v>0</v>
      </c>
    </row>
    <row r="99" spans="1:12" x14ac:dyDescent="0.3">
      <c r="A99" s="10" t="s">
        <v>73</v>
      </c>
      <c r="B99" s="16" t="s">
        <v>14</v>
      </c>
      <c r="C99" s="57">
        <f>C92+C93+C94</f>
        <v>1085</v>
      </c>
      <c r="D99" s="29">
        <f>D92+D93+D94</f>
        <v>217</v>
      </c>
      <c r="E99" s="29">
        <f t="shared" ref="E99:L99" si="56">E92+E93+E94</f>
        <v>217</v>
      </c>
      <c r="F99" s="29">
        <f t="shared" si="56"/>
        <v>217</v>
      </c>
      <c r="G99" s="29">
        <f t="shared" si="56"/>
        <v>217</v>
      </c>
      <c r="H99" s="29">
        <f t="shared" si="56"/>
        <v>217</v>
      </c>
      <c r="I99" s="29">
        <f t="shared" si="56"/>
        <v>0</v>
      </c>
      <c r="J99" s="29">
        <f t="shared" si="56"/>
        <v>0</v>
      </c>
      <c r="K99" s="29">
        <f t="shared" si="56"/>
        <v>0</v>
      </c>
      <c r="L99" s="29">
        <f t="shared" si="56"/>
        <v>0</v>
      </c>
    </row>
    <row r="100" spans="1:12" x14ac:dyDescent="0.3">
      <c r="A100" s="10" t="s">
        <v>73</v>
      </c>
      <c r="B100" s="16" t="s">
        <v>18</v>
      </c>
      <c r="C100" s="57">
        <f>C95+C96+C97</f>
        <v>1700</v>
      </c>
      <c r="D100" s="29">
        <f>D95+D96+D97</f>
        <v>340</v>
      </c>
      <c r="E100" s="29">
        <f t="shared" ref="E100:L100" si="57">E95+E96+E97</f>
        <v>340</v>
      </c>
      <c r="F100" s="29">
        <f t="shared" si="57"/>
        <v>340</v>
      </c>
      <c r="G100" s="29">
        <f t="shared" si="57"/>
        <v>340</v>
      </c>
      <c r="H100" s="29">
        <f t="shared" si="57"/>
        <v>340</v>
      </c>
      <c r="I100" s="29">
        <f t="shared" si="57"/>
        <v>0</v>
      </c>
      <c r="J100" s="29">
        <f t="shared" si="57"/>
        <v>0</v>
      </c>
      <c r="K100" s="29">
        <f t="shared" si="57"/>
        <v>0</v>
      </c>
      <c r="L100" s="29">
        <f t="shared" si="57"/>
        <v>0</v>
      </c>
    </row>
    <row r="102" spans="1:12" x14ac:dyDescent="0.3">
      <c r="A102" s="3" t="str">
        <f>"Total "&amp;Semantics!B7&amp;"s Required - Public"</f>
        <v>Total Caregivers Required - Public</v>
      </c>
      <c r="B102" s="3"/>
    </row>
    <row r="104" spans="1:12" x14ac:dyDescent="0.3">
      <c r="A104" s="10" t="s">
        <v>124</v>
      </c>
      <c r="B104" s="10" t="s">
        <v>51</v>
      </c>
      <c r="C104" s="10">
        <f>Inputs!$F$5</f>
        <v>2021</v>
      </c>
      <c r="D104" s="10">
        <f>C104+1</f>
        <v>2022</v>
      </c>
      <c r="E104" s="10">
        <f t="shared" ref="E104:L104" si="58">D104+1</f>
        <v>2023</v>
      </c>
      <c r="F104" s="10">
        <f t="shared" si="58"/>
        <v>2024</v>
      </c>
      <c r="G104" s="10">
        <f t="shared" si="58"/>
        <v>2025</v>
      </c>
      <c r="H104" s="10">
        <f t="shared" si="58"/>
        <v>2026</v>
      </c>
      <c r="I104" s="10">
        <f t="shared" si="58"/>
        <v>2027</v>
      </c>
      <c r="J104" s="10">
        <f t="shared" si="58"/>
        <v>2028</v>
      </c>
      <c r="K104" s="10">
        <f t="shared" si="58"/>
        <v>2029</v>
      </c>
      <c r="L104" s="10">
        <f t="shared" si="58"/>
        <v>2030</v>
      </c>
    </row>
    <row r="105" spans="1:12" x14ac:dyDescent="0.3">
      <c r="A105" s="10" t="str">
        <f>IF(Inputs!$J$5&gt;1,"Pre-Pri Year 1","Pre-Pri Year")</f>
        <v>Pre-Pri Year 1</v>
      </c>
      <c r="B105" s="16" t="str">
        <f>IF(Inputs!$J$5&gt;1,"Male","Male")</f>
        <v>Male</v>
      </c>
      <c r="C105" s="57" t="s">
        <v>34</v>
      </c>
      <c r="D105" s="7">
        <f>D73+D89</f>
        <v>269.72222222222251</v>
      </c>
      <c r="E105" s="7">
        <f t="shared" ref="E105:L105" si="59">E73+E89</f>
        <v>171.29722222222227</v>
      </c>
      <c r="F105" s="7">
        <f t="shared" si="59"/>
        <v>177.31208333333348</v>
      </c>
      <c r="G105" s="7">
        <f t="shared" si="59"/>
        <v>183.62768750000018</v>
      </c>
      <c r="H105" s="7">
        <f t="shared" si="59"/>
        <v>190.25907187500033</v>
      </c>
      <c r="I105" s="7">
        <f t="shared" si="59"/>
        <v>146.22202546875039</v>
      </c>
      <c r="J105" s="7">
        <f t="shared" si="59"/>
        <v>153.53312674218776</v>
      </c>
      <c r="K105" s="7">
        <f t="shared" si="59"/>
        <v>161.20978307929721</v>
      </c>
      <c r="L105" s="7">
        <f t="shared" si="59"/>
        <v>169.27027223326203</v>
      </c>
    </row>
    <row r="106" spans="1:12" x14ac:dyDescent="0.3">
      <c r="A106" s="10" t="str">
        <f>IF(Inputs!$J$5&gt;1,"Pre-Pri Year 2","")</f>
        <v>Pre-Pri Year 2</v>
      </c>
      <c r="B106" s="16" t="str">
        <f>IF(Inputs!$J$5&gt;1,"Male","")</f>
        <v>Male</v>
      </c>
      <c r="C106" s="57" t="s">
        <v>34</v>
      </c>
      <c r="D106" s="7">
        <f t="shared" ref="D106:L106" si="60">D74+D90</f>
        <v>43</v>
      </c>
      <c r="E106" s="7">
        <f t="shared" si="60"/>
        <v>201.20048888888925</v>
      </c>
      <c r="F106" s="7">
        <f t="shared" si="60"/>
        <v>189.16661200000036</v>
      </c>
      <c r="G106" s="7">
        <f t="shared" si="60"/>
        <v>195.62613072000008</v>
      </c>
      <c r="H106" s="7">
        <f t="shared" si="60"/>
        <v>204.01492566599984</v>
      </c>
      <c r="I106" s="7">
        <f t="shared" si="60"/>
        <v>169.96919134944079</v>
      </c>
      <c r="J106" s="7">
        <f t="shared" si="60"/>
        <v>179.41157820349866</v>
      </c>
      <c r="K106" s="7">
        <f t="shared" si="60"/>
        <v>189.36102440577815</v>
      </c>
      <c r="L106" s="7">
        <f t="shared" si="60"/>
        <v>132.13569294396547</v>
      </c>
    </row>
    <row r="107" spans="1:12" x14ac:dyDescent="0.3">
      <c r="A107" s="10" t="str">
        <f>IF(Inputs!$J$5=3,"Pre-Pri Year 3","")</f>
        <v>Pre-Pri Year 3</v>
      </c>
      <c r="B107" s="16" t="str">
        <f>IF(Inputs!$J$5=3,"Male","")</f>
        <v>Male</v>
      </c>
      <c r="C107" s="57" t="s">
        <v>34</v>
      </c>
      <c r="D107" s="7">
        <f t="shared" ref="D107:L107" si="61">D75+D91</f>
        <v>29</v>
      </c>
      <c r="E107" s="7">
        <f t="shared" si="61"/>
        <v>29</v>
      </c>
      <c r="F107" s="7">
        <f t="shared" si="61"/>
        <v>161.06205755555587</v>
      </c>
      <c r="G107" s="7">
        <f t="shared" si="61"/>
        <v>196.6674346933338</v>
      </c>
      <c r="H107" s="7">
        <f t="shared" si="61"/>
        <v>207.14215730755569</v>
      </c>
      <c r="I107" s="7">
        <f t="shared" si="61"/>
        <v>189.32436734185279</v>
      </c>
      <c r="J107" s="7">
        <f t="shared" si="61"/>
        <v>201.2682090061264</v>
      </c>
      <c r="K107" s="7">
        <f t="shared" si="61"/>
        <v>151.97632314562657</v>
      </c>
      <c r="L107" s="7">
        <f t="shared" si="61"/>
        <v>189.36102440577815</v>
      </c>
    </row>
    <row r="108" spans="1:12" x14ac:dyDescent="0.3">
      <c r="A108" s="10" t="str">
        <f>IF(Inputs!$J$5&gt;1,"Pre-Pri Year 1","Pre-Pri Year")</f>
        <v>Pre-Pri Year 1</v>
      </c>
      <c r="B108" s="16" t="str">
        <f>IF(Inputs!$J$5&gt;1,"Female","Female")</f>
        <v>Female</v>
      </c>
      <c r="C108" s="57" t="s">
        <v>34</v>
      </c>
      <c r="D108" s="7">
        <f t="shared" ref="D108:L108" si="62">D76+D92</f>
        <v>183.93777777777785</v>
      </c>
      <c r="E108" s="7">
        <f t="shared" si="62"/>
        <v>189.47804444444461</v>
      </c>
      <c r="F108" s="7">
        <f t="shared" si="62"/>
        <v>195.35072711111121</v>
      </c>
      <c r="G108" s="7">
        <f t="shared" si="62"/>
        <v>201.57577073777776</v>
      </c>
      <c r="H108" s="7">
        <f t="shared" si="62"/>
        <v>208.17431698204462</v>
      </c>
      <c r="I108" s="7">
        <f t="shared" si="62"/>
        <v>123.56877600096723</v>
      </c>
      <c r="J108" s="7">
        <f t="shared" si="62"/>
        <v>130.98290256102524</v>
      </c>
      <c r="K108" s="7">
        <f t="shared" si="62"/>
        <v>138.8418767146868</v>
      </c>
      <c r="L108" s="7">
        <f t="shared" si="62"/>
        <v>147.17238931756799</v>
      </c>
    </row>
    <row r="109" spans="1:12" x14ac:dyDescent="0.3">
      <c r="A109" s="10" t="str">
        <f>IF(Inputs!$J$5&gt;1,"Pre-Pri Year 2","")</f>
        <v>Pre-Pri Year 2</v>
      </c>
      <c r="B109" s="16" t="str">
        <f>IF(Inputs!$J$5&gt;1,"Female","")</f>
        <v>Female</v>
      </c>
      <c r="C109" s="57" t="s">
        <v>34</v>
      </c>
      <c r="D109" s="7">
        <f t="shared" ref="D109:L109" si="63">D77+D93</f>
        <v>82.4</v>
      </c>
      <c r="E109" s="7">
        <f t="shared" si="63"/>
        <v>134.49711111111122</v>
      </c>
      <c r="F109" s="7">
        <f t="shared" si="63"/>
        <v>186.65343081481481</v>
      </c>
      <c r="G109" s="7">
        <f t="shared" si="63"/>
        <v>195.21613431407434</v>
      </c>
      <c r="H109" s="7">
        <f t="shared" si="63"/>
        <v>202.88363404622231</v>
      </c>
      <c r="I109" s="7">
        <f t="shared" si="63"/>
        <v>146.10647728416237</v>
      </c>
      <c r="J109" s="7">
        <f t="shared" si="63"/>
        <v>157.34424144123153</v>
      </c>
      <c r="K109" s="7">
        <f t="shared" si="63"/>
        <v>169.40455397892597</v>
      </c>
      <c r="L109" s="7">
        <f t="shared" si="63"/>
        <v>182.34566475195527</v>
      </c>
    </row>
    <row r="110" spans="1:12" x14ac:dyDescent="0.3">
      <c r="A110" s="10" t="str">
        <f>IF(Inputs!$J$5=3,"Pre-Pri Year 3","")</f>
        <v>Pre-Pri Year 3</v>
      </c>
      <c r="B110" s="16" t="str">
        <f>IF(Inputs!$J$5=3,"Female","")</f>
        <v>Female</v>
      </c>
      <c r="C110" s="57" t="s">
        <v>34</v>
      </c>
      <c r="D110" s="7">
        <f t="shared" ref="D110:L110" si="64">D78+D94</f>
        <v>43</v>
      </c>
      <c r="E110" s="7">
        <f t="shared" si="64"/>
        <v>43</v>
      </c>
      <c r="F110" s="7">
        <f t="shared" si="64"/>
        <v>66.688915999999963</v>
      </c>
      <c r="G110" s="7">
        <f t="shared" si="64"/>
        <v>152.9659296088891</v>
      </c>
      <c r="H110" s="7">
        <f t="shared" si="64"/>
        <v>165.40274587688918</v>
      </c>
      <c r="I110" s="7">
        <f t="shared" si="64"/>
        <v>131.92352240549317</v>
      </c>
      <c r="J110" s="7">
        <f t="shared" si="64"/>
        <v>175.23451328740904</v>
      </c>
      <c r="K110" s="7">
        <f t="shared" si="64"/>
        <v>192.09178125270356</v>
      </c>
      <c r="L110" s="7">
        <f t="shared" si="64"/>
        <v>210.44586344804728</v>
      </c>
    </row>
    <row r="111" spans="1:12" x14ac:dyDescent="0.3">
      <c r="A111" s="10" t="str">
        <f>IF(Inputs!$J$5&gt;1,"Pre-Pri Year 1","Pre-Pri Year")</f>
        <v>Pre-Pri Year 1</v>
      </c>
      <c r="B111" s="16" t="str">
        <f>IF(Inputs!$J$5&gt;1,"Total","Total")</f>
        <v>Total</v>
      </c>
      <c r="C111" s="57" t="s">
        <v>34</v>
      </c>
      <c r="D111" s="7">
        <f t="shared" ref="D111:L111" si="65">D79+D95</f>
        <v>453.66000000000031</v>
      </c>
      <c r="E111" s="7">
        <f t="shared" si="65"/>
        <v>360.77526666666688</v>
      </c>
      <c r="F111" s="7">
        <f t="shared" si="65"/>
        <v>372.66281044444474</v>
      </c>
      <c r="G111" s="7">
        <f t="shared" si="65"/>
        <v>385.20345823777791</v>
      </c>
      <c r="H111" s="7">
        <f t="shared" si="65"/>
        <v>398.43338885704497</v>
      </c>
      <c r="I111" s="7">
        <f t="shared" si="65"/>
        <v>269.79080146971762</v>
      </c>
      <c r="J111" s="7">
        <f t="shared" si="65"/>
        <v>284.51602930321303</v>
      </c>
      <c r="K111" s="7">
        <f t="shared" si="65"/>
        <v>300.05165979398402</v>
      </c>
      <c r="L111" s="7">
        <f t="shared" si="65"/>
        <v>316.44266155083005</v>
      </c>
    </row>
    <row r="112" spans="1:12" x14ac:dyDescent="0.3">
      <c r="A112" s="10" t="str">
        <f>IF(Inputs!$J$5&gt;1,"Pre-Pri Year 2","")</f>
        <v>Pre-Pri Year 2</v>
      </c>
      <c r="B112" s="16" t="str">
        <f>IF(Inputs!$J$5&gt;1,"Male","")</f>
        <v>Male</v>
      </c>
      <c r="C112" s="57" t="s">
        <v>34</v>
      </c>
      <c r="D112" s="7">
        <f t="shared" ref="D112:L112" si="66">D80+D96</f>
        <v>125.4</v>
      </c>
      <c r="E112" s="7">
        <f t="shared" si="66"/>
        <v>335.69760000000048</v>
      </c>
      <c r="F112" s="7">
        <f t="shared" si="66"/>
        <v>375.82004281481517</v>
      </c>
      <c r="G112" s="7">
        <f t="shared" si="66"/>
        <v>390.84226503407444</v>
      </c>
      <c r="H112" s="7">
        <f t="shared" si="66"/>
        <v>406.8985597122221</v>
      </c>
      <c r="I112" s="7">
        <f t="shared" si="66"/>
        <v>316.07566863360319</v>
      </c>
      <c r="J112" s="7">
        <f t="shared" si="66"/>
        <v>336.7558196447302</v>
      </c>
      <c r="K112" s="7">
        <f t="shared" si="66"/>
        <v>358.7655783847041</v>
      </c>
      <c r="L112" s="7">
        <f t="shared" si="66"/>
        <v>314.48135769592074</v>
      </c>
    </row>
    <row r="113" spans="1:17" x14ac:dyDescent="0.3">
      <c r="A113" s="10" t="str">
        <f>IF(Inputs!$J$5=3,"Pre-Pri Year 3","")</f>
        <v>Pre-Pri Year 3</v>
      </c>
      <c r="B113" s="16" t="str">
        <f>IF(Inputs!$J$5=3,"Male","")</f>
        <v>Male</v>
      </c>
      <c r="C113" s="57" t="s">
        <v>34</v>
      </c>
      <c r="D113" s="7">
        <f t="shared" ref="D113:L113" si="67">D81+D97</f>
        <v>72</v>
      </c>
      <c r="E113" s="7">
        <f t="shared" si="67"/>
        <v>72</v>
      </c>
      <c r="F113" s="7">
        <f t="shared" si="67"/>
        <v>227.75097355555584</v>
      </c>
      <c r="G113" s="7">
        <f t="shared" si="67"/>
        <v>349.6333643022229</v>
      </c>
      <c r="H113" s="7">
        <f t="shared" si="67"/>
        <v>372.54490318444488</v>
      </c>
      <c r="I113" s="7">
        <f t="shared" si="67"/>
        <v>321.24788974734599</v>
      </c>
      <c r="J113" s="7">
        <f t="shared" si="67"/>
        <v>376.50272229353544</v>
      </c>
      <c r="K113" s="7">
        <f t="shared" si="67"/>
        <v>344.06810439833009</v>
      </c>
      <c r="L113" s="7">
        <f t="shared" si="67"/>
        <v>399.8068878538254</v>
      </c>
    </row>
    <row r="114" spans="1:17" x14ac:dyDescent="0.3">
      <c r="A114" s="10" t="s">
        <v>73</v>
      </c>
      <c r="B114" s="16" t="s">
        <v>13</v>
      </c>
      <c r="C114" s="57" t="s">
        <v>34</v>
      </c>
      <c r="D114" s="29">
        <f t="shared" ref="D114:L114" si="68">D82+D98</f>
        <v>341.72222222222251</v>
      </c>
      <c r="E114" s="29">
        <f t="shared" si="68"/>
        <v>401.49771111111153</v>
      </c>
      <c r="F114" s="29">
        <f t="shared" si="68"/>
        <v>527.54075288888976</v>
      </c>
      <c r="G114" s="29">
        <f t="shared" si="68"/>
        <v>575.921252913334</v>
      </c>
      <c r="H114" s="29">
        <f t="shared" si="68"/>
        <v>601.41615484855583</v>
      </c>
      <c r="I114" s="29">
        <f t="shared" si="68"/>
        <v>505.51558416004394</v>
      </c>
      <c r="J114" s="29">
        <f t="shared" si="68"/>
        <v>534.21291395181288</v>
      </c>
      <c r="K114" s="29">
        <f t="shared" si="68"/>
        <v>502.54713063070193</v>
      </c>
      <c r="L114" s="29">
        <f t="shared" si="68"/>
        <v>490.76698958300562</v>
      </c>
    </row>
    <row r="115" spans="1:17" x14ac:dyDescent="0.3">
      <c r="A115" s="10" t="s">
        <v>73</v>
      </c>
      <c r="B115" s="16" t="s">
        <v>14</v>
      </c>
      <c r="C115" s="57" t="s">
        <v>34</v>
      </c>
      <c r="D115" s="29">
        <f t="shared" ref="D115:L115" si="69">D83+D99</f>
        <v>309.33777777777789</v>
      </c>
      <c r="E115" s="29">
        <f t="shared" si="69"/>
        <v>366.97515555555583</v>
      </c>
      <c r="F115" s="29">
        <f t="shared" si="69"/>
        <v>448.693073925926</v>
      </c>
      <c r="G115" s="29">
        <f t="shared" si="69"/>
        <v>549.7578346607412</v>
      </c>
      <c r="H115" s="29">
        <f t="shared" si="69"/>
        <v>576.46069690515606</v>
      </c>
      <c r="I115" s="29">
        <f t="shared" si="69"/>
        <v>401.5987756906228</v>
      </c>
      <c r="J115" s="29">
        <f t="shared" si="69"/>
        <v>463.56165728966585</v>
      </c>
      <c r="K115" s="29">
        <f t="shared" si="69"/>
        <v>500.33821194631628</v>
      </c>
      <c r="L115" s="29">
        <f t="shared" si="69"/>
        <v>539.96391751757051</v>
      </c>
    </row>
    <row r="116" spans="1:17" x14ac:dyDescent="0.3">
      <c r="A116" s="10" t="s">
        <v>73</v>
      </c>
      <c r="B116" s="16" t="s">
        <v>18</v>
      </c>
      <c r="C116" s="57" t="s">
        <v>34</v>
      </c>
      <c r="D116" s="29">
        <f t="shared" ref="D116:L116" si="70">D84+D100</f>
        <v>651.0600000000004</v>
      </c>
      <c r="E116" s="29">
        <f t="shared" si="70"/>
        <v>768.47286666666741</v>
      </c>
      <c r="F116" s="29">
        <f t="shared" si="70"/>
        <v>976.23382681481576</v>
      </c>
      <c r="G116" s="29">
        <f t="shared" si="70"/>
        <v>1125.6790875740753</v>
      </c>
      <c r="H116" s="29">
        <f t="shared" si="70"/>
        <v>1177.8768517537119</v>
      </c>
      <c r="I116" s="29">
        <f t="shared" si="70"/>
        <v>907.1143598506668</v>
      </c>
      <c r="J116" s="29">
        <f t="shared" si="70"/>
        <v>997.77457124147872</v>
      </c>
      <c r="K116" s="29">
        <f t="shared" si="70"/>
        <v>1002.8853425770182</v>
      </c>
      <c r="L116" s="29">
        <f t="shared" si="70"/>
        <v>1030.7309071005761</v>
      </c>
    </row>
    <row r="118" spans="1:17" x14ac:dyDescent="0.3">
      <c r="A118" s="3" t="s">
        <v>224</v>
      </c>
      <c r="B118" s="3"/>
    </row>
    <row r="119" spans="1:17" x14ac:dyDescent="0.3">
      <c r="C119" s="28" t="s">
        <v>77</v>
      </c>
    </row>
    <row r="120" spans="1:17" x14ac:dyDescent="0.3">
      <c r="A120" s="10" t="s">
        <v>124</v>
      </c>
      <c r="B120" s="10" t="s">
        <v>51</v>
      </c>
      <c r="C120" s="10">
        <f>Inputs!$F$5</f>
        <v>2021</v>
      </c>
      <c r="D120" s="10">
        <f>C120+1</f>
        <v>2022</v>
      </c>
      <c r="E120" s="10">
        <f t="shared" ref="E120" si="71">D120+1</f>
        <v>2023</v>
      </c>
      <c r="F120" s="10">
        <f t="shared" ref="F120" si="72">E120+1</f>
        <v>2024</v>
      </c>
      <c r="G120" s="10">
        <f t="shared" ref="G120" si="73">F120+1</f>
        <v>2025</v>
      </c>
      <c r="H120" s="10">
        <f t="shared" ref="H120" si="74">G120+1</f>
        <v>2026</v>
      </c>
      <c r="I120" s="10">
        <f t="shared" ref="I120" si="75">H120+1</f>
        <v>2027</v>
      </c>
      <c r="J120" s="10">
        <f t="shared" ref="J120" si="76">I120+1</f>
        <v>2028</v>
      </c>
      <c r="K120" s="10">
        <f t="shared" ref="K120" si="77">J120+1</f>
        <v>2029</v>
      </c>
      <c r="L120" s="10">
        <f t="shared" ref="L120" si="78">K120+1</f>
        <v>2030</v>
      </c>
      <c r="N120" s="13" t="s">
        <v>52</v>
      </c>
    </row>
    <row r="121" spans="1:17" x14ac:dyDescent="0.3">
      <c r="A121" s="10" t="str">
        <f>IF(Inputs!$J$5&gt;1,"Pre-Pri Year 1","Pre-Pri Year")</f>
        <v>Pre-Pri Year 1</v>
      </c>
      <c r="B121" s="16" t="str">
        <f>IF(Inputs!$J$5&gt;1,"Male","Male")</f>
        <v>Male</v>
      </c>
      <c r="C121" s="57">
        <f>Inputs!S55</f>
        <v>110</v>
      </c>
      <c r="D121" s="7">
        <f>IF($P$121&gt;0,$C$121/$P$121,"0")</f>
        <v>22</v>
      </c>
      <c r="E121" s="7">
        <f>IF($P$121&gt;1,$C$121/$P$121,"0")</f>
        <v>22</v>
      </c>
      <c r="F121" s="7">
        <f>IF($P$121&gt;2,$C$121/$P$121,"0")</f>
        <v>22</v>
      </c>
      <c r="G121" s="7">
        <f>IF($P$121&gt;3,$C$121/$P$121,"0")</f>
        <v>22</v>
      </c>
      <c r="H121" s="7">
        <f>IF($P$121&gt;4,$C$121/$P$121,"0")</f>
        <v>22</v>
      </c>
      <c r="I121" s="7" t="str">
        <f>IF($P$121&gt;5,$C$121/$P$121,"0")</f>
        <v>0</v>
      </c>
      <c r="J121" s="7" t="str">
        <f>IF($P$121&gt;6,$C$121/$P$121,"0")</f>
        <v>0</v>
      </c>
      <c r="K121" s="7" t="str">
        <f>IF($P$121&gt;7,$C$121/$P$121,"0")</f>
        <v>0</v>
      </c>
      <c r="L121" s="7" t="str">
        <f>IF($P$121&gt;8,$C$121/$P$121,"0")</f>
        <v>0</v>
      </c>
      <c r="N121" t="s">
        <v>13</v>
      </c>
      <c r="O121" t="s">
        <v>54</v>
      </c>
      <c r="P121" s="85">
        <f>'Policy Decisions'!C64</f>
        <v>5</v>
      </c>
      <c r="Q121" t="s">
        <v>24</v>
      </c>
    </row>
    <row r="122" spans="1:17" x14ac:dyDescent="0.3">
      <c r="A122" s="10" t="str">
        <f>IF(Inputs!$J$5&gt;1,"Pre-Pri Year 2","")</f>
        <v>Pre-Pri Year 2</v>
      </c>
      <c r="B122" s="16" t="str">
        <f>IF(Inputs!$J$5&gt;1,"Male","")</f>
        <v>Male</v>
      </c>
      <c r="C122" s="57">
        <f>Inputs!S56</f>
        <v>110</v>
      </c>
      <c r="D122" s="7">
        <f>IF($P$123&gt;0,$C$122/$P$123,"0")</f>
        <v>22</v>
      </c>
      <c r="E122" s="7">
        <f>IF($P$123&gt;1,$C$122/$P$123,"0")</f>
        <v>22</v>
      </c>
      <c r="F122" s="7">
        <f>IF($P$123&gt;2,$C$122/$P$123,"0")</f>
        <v>22</v>
      </c>
      <c r="G122" s="7">
        <f>IF($P$123&gt;3,$C$122/$P$123,"0")</f>
        <v>22</v>
      </c>
      <c r="H122" s="7">
        <f>IF($P$123&gt;4,$C$122/$P$123,"0")</f>
        <v>22</v>
      </c>
      <c r="I122" s="7" t="str">
        <f>IF($P$123&gt;5,$C$122/$P$123,"0")</f>
        <v>0</v>
      </c>
      <c r="J122" s="7" t="str">
        <f>IF($P$123&gt;6,$C$122/$P$123,"0")</f>
        <v>0</v>
      </c>
      <c r="K122" s="7" t="str">
        <f>IF($P$123&gt;7,$C$122/$P$123,"0")</f>
        <v>0</v>
      </c>
      <c r="L122" s="7" t="str">
        <f>IF($P$123&gt;8,$C$122/$P$123,"0")</f>
        <v>0</v>
      </c>
      <c r="N122" t="s">
        <v>14</v>
      </c>
      <c r="O122" t="s">
        <v>54</v>
      </c>
      <c r="P122" s="85">
        <f>'Policy Decisions'!C65</f>
        <v>5</v>
      </c>
      <c r="Q122" t="s">
        <v>24</v>
      </c>
    </row>
    <row r="123" spans="1:17" x14ac:dyDescent="0.3">
      <c r="A123" s="10" t="str">
        <f>IF(Inputs!$J$5=3,"Pre-Pri Year 3","")</f>
        <v>Pre-Pri Year 3</v>
      </c>
      <c r="B123" s="16" t="str">
        <f>IF(Inputs!$J$5=3,"Male","")</f>
        <v>Male</v>
      </c>
      <c r="C123" s="57">
        <f>Inputs!S57</f>
        <v>110</v>
      </c>
      <c r="D123" s="7">
        <f>IF($P$125&gt;0,$C$123/$P$125,"0")</f>
        <v>22</v>
      </c>
      <c r="E123" s="7">
        <f>IF($P$125&gt;1,$C$123/$P$125,"0")</f>
        <v>22</v>
      </c>
      <c r="F123" s="7">
        <f>IF($P$125&gt;2,$C$123/$P$125,"0")</f>
        <v>22</v>
      </c>
      <c r="G123" s="7">
        <f>IF($P$125&gt;3,$C$123/$P$125,"0")</f>
        <v>22</v>
      </c>
      <c r="H123" s="7">
        <f>IF($P$125&gt;4,$C$123/$P$125,"0")</f>
        <v>22</v>
      </c>
      <c r="I123" s="7" t="str">
        <f>IF($P$125&gt;5,$C$123/$P$125,"0")</f>
        <v>0</v>
      </c>
      <c r="J123" s="7" t="str">
        <f>IF($P$125&gt;6,$C$123/$P$125,"0")</f>
        <v>0</v>
      </c>
      <c r="K123" s="7" t="str">
        <f>IF($P$125&gt;7,$C$123/$P$125,"0")</f>
        <v>0</v>
      </c>
      <c r="L123" s="7" t="str">
        <f>IF($P$125&gt;8,$C$123/$P$125,"0")</f>
        <v>0</v>
      </c>
      <c r="N123" t="s">
        <v>13</v>
      </c>
      <c r="O123" t="s">
        <v>54</v>
      </c>
      <c r="P123" s="85">
        <f>'Policy Decisions'!C66</f>
        <v>5</v>
      </c>
      <c r="Q123" t="s">
        <v>25</v>
      </c>
    </row>
    <row r="124" spans="1:17" x14ac:dyDescent="0.3">
      <c r="A124" s="10" t="str">
        <f>IF(Inputs!$J$5&gt;1,"Pre-Pri Year 1","Pre-Pri Year")</f>
        <v>Pre-Pri Year 1</v>
      </c>
      <c r="B124" s="16" t="str">
        <f>IF(Inputs!$J$5&gt;1,"Female","Female")</f>
        <v>Female</v>
      </c>
      <c r="C124" s="57">
        <f>Inputs!S58</f>
        <v>110</v>
      </c>
      <c r="D124" s="7">
        <f>IF($P$122&gt;0,$C$122/$P$122,"0")</f>
        <v>22</v>
      </c>
      <c r="E124" s="7">
        <f>IF($P$122&gt;1,$C$122/$P$122,"0")</f>
        <v>22</v>
      </c>
      <c r="F124" s="7">
        <f>IF($P$122&gt;2,$C$122/$P$122,"0")</f>
        <v>22</v>
      </c>
      <c r="G124" s="7">
        <f>IF($P$122&gt;3,$C$122/$P$122,"0")</f>
        <v>22</v>
      </c>
      <c r="H124" s="7">
        <f>IF($P$122&gt;4,$C$122/$P$122,"0")</f>
        <v>22</v>
      </c>
      <c r="I124" s="7" t="str">
        <f>IF($P$122&gt;5,$C$122/$P$122,"0")</f>
        <v>0</v>
      </c>
      <c r="J124" s="7" t="str">
        <f>IF($P$122&gt;6,$C$122/$P$122,"0")</f>
        <v>0</v>
      </c>
      <c r="K124" s="7" t="str">
        <f>IF($P$122&gt;7,$C$122/$P$122,"0")</f>
        <v>0</v>
      </c>
      <c r="L124" s="7" t="str">
        <f>IF($P$122&gt;8,$C$122/$P$122,"0")</f>
        <v>0</v>
      </c>
      <c r="N124" t="s">
        <v>14</v>
      </c>
      <c r="O124" t="s">
        <v>54</v>
      </c>
      <c r="P124" s="85">
        <f>'Policy Decisions'!C67</f>
        <v>5</v>
      </c>
      <c r="Q124" t="s">
        <v>25</v>
      </c>
    </row>
    <row r="125" spans="1:17" x14ac:dyDescent="0.3">
      <c r="A125" s="10" t="str">
        <f>IF(Inputs!$J$5&gt;1,"Pre-Pri Year 2","")</f>
        <v>Pre-Pri Year 2</v>
      </c>
      <c r="B125" s="16" t="str">
        <f>IF(Inputs!$J$5&gt;1,"Female","")</f>
        <v>Female</v>
      </c>
      <c r="C125" s="57">
        <f>Inputs!S59</f>
        <v>110</v>
      </c>
      <c r="D125" s="7">
        <f>IF($P$124&gt;0,$C$125/$P$124,"0")</f>
        <v>22</v>
      </c>
      <c r="E125" s="7">
        <f>IF($P$124&gt;1,$C$125/$P$124,"0")</f>
        <v>22</v>
      </c>
      <c r="F125" s="7">
        <f>IF($P$124&gt;2,$C$125/$P$124,"0")</f>
        <v>22</v>
      </c>
      <c r="G125" s="7">
        <f>IF($P$124&gt;3,$C$125/$P$124,"0")</f>
        <v>22</v>
      </c>
      <c r="H125" s="7">
        <f>IF($P$124&gt;4,$C$125/$P$124,"0")</f>
        <v>22</v>
      </c>
      <c r="I125" s="7" t="str">
        <f>IF($P$124&gt;5,$C$125/$P$124,"0")</f>
        <v>0</v>
      </c>
      <c r="J125" s="7" t="str">
        <f>IF($P$124&gt;6,$C$125/$P$124,"0")</f>
        <v>0</v>
      </c>
      <c r="K125" s="7" t="str">
        <f>IF($P$124&gt;7,$C$125/$P$124,"0")</f>
        <v>0</v>
      </c>
      <c r="L125" s="7" t="str">
        <f>IF($P$124&gt;8,$C$125/$P$124,"0")</f>
        <v>0</v>
      </c>
      <c r="N125" t="s">
        <v>13</v>
      </c>
      <c r="O125" t="s">
        <v>54</v>
      </c>
      <c r="P125" s="85">
        <f>'Policy Decisions'!C68</f>
        <v>5</v>
      </c>
      <c r="Q125" t="s">
        <v>26</v>
      </c>
    </row>
    <row r="126" spans="1:17" x14ac:dyDescent="0.3">
      <c r="A126" s="10" t="str">
        <f>IF(Inputs!$J$5=3,"Pre-Pri Year 3","")</f>
        <v>Pre-Pri Year 3</v>
      </c>
      <c r="B126" s="16" t="str">
        <f>IF(Inputs!$J$5=3,"Female","")</f>
        <v>Female</v>
      </c>
      <c r="C126" s="57">
        <f>Inputs!S60</f>
        <v>110</v>
      </c>
      <c r="D126" s="7">
        <f>IF($P$126&gt;0,$C$126/$P$126,"0")</f>
        <v>22</v>
      </c>
      <c r="E126" s="7">
        <f>IF($P$126&gt;1,$C$126/$P$126,"0")</f>
        <v>22</v>
      </c>
      <c r="F126" s="7">
        <f>IF($P$126&gt;2,$C$126/$P$126,"0")</f>
        <v>22</v>
      </c>
      <c r="G126" s="7">
        <f>IF($P$126&gt;3,$C$126/$P$126,"0")</f>
        <v>22</v>
      </c>
      <c r="H126" s="7">
        <f>IF($P$126&gt;4,$C$126/$P$126,"0")</f>
        <v>22</v>
      </c>
      <c r="I126" s="7" t="str">
        <f>IF($P$126&gt;5,$C$126/$P$126,"0")</f>
        <v>0</v>
      </c>
      <c r="J126" s="7" t="str">
        <f>IF($P$126&gt;6,$C$126/$P$126,"0")</f>
        <v>0</v>
      </c>
      <c r="K126" s="7" t="str">
        <f>IF($P$126&gt;7,$C$126/$P$126,"0")</f>
        <v>0</v>
      </c>
      <c r="L126" s="7" t="str">
        <f>IF($P$126&gt;8,$C$126/$P$126,"0")</f>
        <v>0</v>
      </c>
      <c r="N126" t="s">
        <v>14</v>
      </c>
      <c r="O126" t="s">
        <v>54</v>
      </c>
      <c r="P126" s="85">
        <f>'Policy Decisions'!C69</f>
        <v>5</v>
      </c>
      <c r="Q126" t="s">
        <v>26</v>
      </c>
    </row>
    <row r="127" spans="1:17" x14ac:dyDescent="0.3">
      <c r="A127" s="10" t="str">
        <f>IF(Inputs!$J$5&gt;1,"Pre-Pri Year 1","Pre-Pri Year")</f>
        <v>Pre-Pri Year 1</v>
      </c>
      <c r="B127" s="16" t="str">
        <f>IF(Inputs!$J$5&gt;1,"Total","Total")</f>
        <v>Total</v>
      </c>
      <c r="C127" s="57">
        <f>C121+C124</f>
        <v>220</v>
      </c>
      <c r="D127" s="19">
        <f>D121+D124</f>
        <v>44</v>
      </c>
      <c r="E127" s="19">
        <f t="shared" ref="E127:J127" si="79">E121+E124</f>
        <v>44</v>
      </c>
      <c r="F127" s="19">
        <f t="shared" si="79"/>
        <v>44</v>
      </c>
      <c r="G127" s="19">
        <f t="shared" si="79"/>
        <v>44</v>
      </c>
      <c r="H127" s="19">
        <f t="shared" si="79"/>
        <v>44</v>
      </c>
      <c r="I127" s="19">
        <f t="shared" si="79"/>
        <v>0</v>
      </c>
      <c r="J127" s="19">
        <f t="shared" si="79"/>
        <v>0</v>
      </c>
      <c r="K127" s="19">
        <f>K121+K124</f>
        <v>0</v>
      </c>
      <c r="L127" s="19">
        <f t="shared" ref="L127" si="80">L121+L124</f>
        <v>0</v>
      </c>
    </row>
    <row r="128" spans="1:17" x14ac:dyDescent="0.3">
      <c r="A128" s="10" t="str">
        <f>IF(Inputs!$J$5&gt;1,"Pre-Pri Year 2","")</f>
        <v>Pre-Pri Year 2</v>
      </c>
      <c r="B128" s="16" t="str">
        <f>IF(Inputs!$J$5&gt;1,"Male","")</f>
        <v>Male</v>
      </c>
      <c r="C128" s="57">
        <f t="shared" ref="C128:J128" si="81">C122+C125</f>
        <v>220</v>
      </c>
      <c r="D128" s="19">
        <f t="shared" si="81"/>
        <v>44</v>
      </c>
      <c r="E128" s="19">
        <f t="shared" si="81"/>
        <v>44</v>
      </c>
      <c r="F128" s="19">
        <f t="shared" si="81"/>
        <v>44</v>
      </c>
      <c r="G128" s="19">
        <f t="shared" si="81"/>
        <v>44</v>
      </c>
      <c r="H128" s="19">
        <f t="shared" si="81"/>
        <v>44</v>
      </c>
      <c r="I128" s="19">
        <f t="shared" si="81"/>
        <v>0</v>
      </c>
      <c r="J128" s="19">
        <f t="shared" si="81"/>
        <v>0</v>
      </c>
      <c r="K128" s="19">
        <f>K122+K125</f>
        <v>0</v>
      </c>
      <c r="L128" s="19">
        <f t="shared" ref="L128" si="82">L122+L125</f>
        <v>0</v>
      </c>
    </row>
    <row r="129" spans="1:12" x14ac:dyDescent="0.3">
      <c r="A129" s="10" t="str">
        <f>IF(Inputs!$J$5=3,"Pre-Pri Year 3","")</f>
        <v>Pre-Pri Year 3</v>
      </c>
      <c r="B129" s="16" t="str">
        <f>IF(Inputs!$J$5=3,"Male","")</f>
        <v>Male</v>
      </c>
      <c r="C129" s="57">
        <f t="shared" ref="C129:L129" si="83">C123+C126</f>
        <v>220</v>
      </c>
      <c r="D129" s="19">
        <f t="shared" si="83"/>
        <v>44</v>
      </c>
      <c r="E129" s="19">
        <f t="shared" si="83"/>
        <v>44</v>
      </c>
      <c r="F129" s="19">
        <f t="shared" si="83"/>
        <v>44</v>
      </c>
      <c r="G129" s="19">
        <f t="shared" si="83"/>
        <v>44</v>
      </c>
      <c r="H129" s="19">
        <f t="shared" si="83"/>
        <v>44</v>
      </c>
      <c r="I129" s="19">
        <f t="shared" si="83"/>
        <v>0</v>
      </c>
      <c r="J129" s="19">
        <f t="shared" si="83"/>
        <v>0</v>
      </c>
      <c r="K129" s="19">
        <f t="shared" si="83"/>
        <v>0</v>
      </c>
      <c r="L129" s="19">
        <f t="shared" si="83"/>
        <v>0</v>
      </c>
    </row>
    <row r="130" spans="1:12" x14ac:dyDescent="0.3">
      <c r="A130" s="10" t="s">
        <v>73</v>
      </c>
      <c r="B130" s="16" t="s">
        <v>13</v>
      </c>
      <c r="C130" s="57">
        <f>C121+C122+C123</f>
        <v>330</v>
      </c>
      <c r="D130" s="29">
        <f>D121+D122+D123</f>
        <v>66</v>
      </c>
      <c r="E130" s="29">
        <f t="shared" ref="E130:L130" si="84">E121+E122+E123</f>
        <v>66</v>
      </c>
      <c r="F130" s="29">
        <f t="shared" si="84"/>
        <v>66</v>
      </c>
      <c r="G130" s="29">
        <f t="shared" si="84"/>
        <v>66</v>
      </c>
      <c r="H130" s="29">
        <f t="shared" si="84"/>
        <v>66</v>
      </c>
      <c r="I130" s="29">
        <f t="shared" si="84"/>
        <v>0</v>
      </c>
      <c r="J130" s="29">
        <f t="shared" si="84"/>
        <v>0</v>
      </c>
      <c r="K130" s="29">
        <f t="shared" si="84"/>
        <v>0</v>
      </c>
      <c r="L130" s="29">
        <f t="shared" si="84"/>
        <v>0</v>
      </c>
    </row>
    <row r="131" spans="1:12" x14ac:dyDescent="0.3">
      <c r="A131" s="10" t="s">
        <v>73</v>
      </c>
      <c r="B131" s="16" t="s">
        <v>14</v>
      </c>
      <c r="C131" s="57">
        <f>C124+C125+C126</f>
        <v>330</v>
      </c>
      <c r="D131" s="29">
        <f>D124+D125+D126</f>
        <v>66</v>
      </c>
      <c r="E131" s="29">
        <f t="shared" ref="E131:L131" si="85">E124+E125+E126</f>
        <v>66</v>
      </c>
      <c r="F131" s="29">
        <f t="shared" si="85"/>
        <v>66</v>
      </c>
      <c r="G131" s="29">
        <f t="shared" si="85"/>
        <v>66</v>
      </c>
      <c r="H131" s="29">
        <f t="shared" si="85"/>
        <v>66</v>
      </c>
      <c r="I131" s="29">
        <f t="shared" si="85"/>
        <v>0</v>
      </c>
      <c r="J131" s="29">
        <f t="shared" si="85"/>
        <v>0</v>
      </c>
      <c r="K131" s="29">
        <f t="shared" si="85"/>
        <v>0</v>
      </c>
      <c r="L131" s="29">
        <f t="shared" si="85"/>
        <v>0</v>
      </c>
    </row>
    <row r="132" spans="1:12" x14ac:dyDescent="0.3">
      <c r="A132" s="10" t="s">
        <v>73</v>
      </c>
      <c r="B132" s="16" t="s">
        <v>18</v>
      </c>
      <c r="C132" s="57">
        <f>C127+C128+C129</f>
        <v>660</v>
      </c>
      <c r="D132" s="29">
        <f>D127+D128+D129</f>
        <v>132</v>
      </c>
      <c r="E132" s="29">
        <f t="shared" ref="E132:L132" si="86">E127+E128+E129</f>
        <v>132</v>
      </c>
      <c r="F132" s="29">
        <f t="shared" si="86"/>
        <v>132</v>
      </c>
      <c r="G132" s="29">
        <f t="shared" si="86"/>
        <v>132</v>
      </c>
      <c r="H132" s="29">
        <f t="shared" si="86"/>
        <v>132</v>
      </c>
      <c r="I132" s="29">
        <f t="shared" si="86"/>
        <v>0</v>
      </c>
      <c r="J132" s="29">
        <f t="shared" si="86"/>
        <v>0</v>
      </c>
      <c r="K132" s="29">
        <f t="shared" si="86"/>
        <v>0</v>
      </c>
      <c r="L132" s="29">
        <f t="shared" si="86"/>
        <v>0</v>
      </c>
    </row>
  </sheetData>
  <sheetProtection algorithmName="SHA-512" hashValue="8FY633ql0aEuuFCu1vWOv/qIl408kF/3R6GlFEoHSpA7kxwPVQuz6YCTFS2SI4RMAmmLpO28fQwAJtgK8MzI5g==" saltValue="T9fHs7T//6/NBxJhbt8VRQ==" spinCount="100000" sheet="1" objects="1" scenarios="1"/>
  <phoneticPr fontId="6" type="noConversion"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2B1A-3849-4B5B-8361-848BF9148648}">
  <dimension ref="A1:Q185"/>
  <sheetViews>
    <sheetView workbookViewId="0">
      <selection activeCell="F1" sqref="F1"/>
    </sheetView>
  </sheetViews>
  <sheetFormatPr defaultRowHeight="14.4" x14ac:dyDescent="0.3"/>
  <cols>
    <col min="1" max="1" width="17.33203125" customWidth="1"/>
    <col min="2" max="2" width="14.33203125" customWidth="1"/>
    <col min="3" max="3" width="11.44140625" bestFit="1" customWidth="1"/>
    <col min="14" max="14" width="7.5546875" bestFit="1" customWidth="1"/>
    <col min="15" max="15" width="24.5546875" bestFit="1" customWidth="1"/>
    <col min="16" max="16" width="5.33203125" style="1" customWidth="1"/>
    <col min="17" max="17" width="13.109375" bestFit="1" customWidth="1"/>
  </cols>
  <sheetData>
    <row r="1" spans="1:12" x14ac:dyDescent="0.3">
      <c r="A1" s="48" t="s">
        <v>201</v>
      </c>
      <c r="B1" s="2"/>
    </row>
    <row r="3" spans="1:12" x14ac:dyDescent="0.3">
      <c r="A3" s="62" t="s">
        <v>246</v>
      </c>
    </row>
    <row r="5" spans="1:12" x14ac:dyDescent="0.3">
      <c r="A5" s="3" t="s">
        <v>37</v>
      </c>
      <c r="B5" s="3"/>
    </row>
    <row r="7" spans="1:12" x14ac:dyDescent="0.3">
      <c r="A7" s="10" t="s">
        <v>22</v>
      </c>
      <c r="B7" s="10" t="s">
        <v>75</v>
      </c>
      <c r="C7" s="10">
        <f>Inputs!$F$5</f>
        <v>2021</v>
      </c>
      <c r="D7" s="10">
        <f>C7+1</f>
        <v>2022</v>
      </c>
      <c r="E7" s="10">
        <f t="shared" ref="E7:L7" si="0">D7+1</f>
        <v>2023</v>
      </c>
      <c r="F7" s="10">
        <f t="shared" si="0"/>
        <v>2024</v>
      </c>
      <c r="G7" s="10">
        <f t="shared" si="0"/>
        <v>2025</v>
      </c>
      <c r="H7" s="10">
        <f t="shared" si="0"/>
        <v>2026</v>
      </c>
      <c r="I7" s="10">
        <f t="shared" si="0"/>
        <v>2027</v>
      </c>
      <c r="J7" s="10">
        <f t="shared" si="0"/>
        <v>2028</v>
      </c>
      <c r="K7" s="10">
        <f t="shared" si="0"/>
        <v>2029</v>
      </c>
      <c r="L7" s="10">
        <f t="shared" si="0"/>
        <v>2030</v>
      </c>
    </row>
    <row r="8" spans="1:12" x14ac:dyDescent="0.3">
      <c r="A8" s="10" t="str">
        <f>IF(Inputs!$J$5&gt;1,"Pre-Pri Year 1","Pre-Pri Year")</f>
        <v>Pre-Pri Year 1</v>
      </c>
      <c r="B8" s="16" t="str">
        <f>IF(Inputs!$J$5&gt;1,"3","3-5")</f>
        <v>3</v>
      </c>
      <c r="C8" s="57" t="s">
        <v>34</v>
      </c>
      <c r="D8" s="7">
        <f>IF((Enrolment!Q22-Enrolment!P22)&gt;0,(Enrolment!Q22-Enrolment!P22),"0")</f>
        <v>5905.5000000000073</v>
      </c>
      <c r="E8" s="7">
        <f>IF((Enrolment!R22-Enrolment!Q22)&gt;0,(Enrolment!R22-Enrolment!Q22),"0")</f>
        <v>3248.0250000000015</v>
      </c>
      <c r="F8" s="7">
        <f>IF((Enrolment!S22-Enrolment!R22)&gt;0,(Enrolment!S22-Enrolment!R22),"0")</f>
        <v>3410.4262500000041</v>
      </c>
      <c r="G8" s="7">
        <f>IF((Enrolment!T22-Enrolment!S22)&gt;0,(Enrolment!T22-Enrolment!S22),"0")</f>
        <v>3580.947562500005</v>
      </c>
      <c r="H8" s="7">
        <f>IF((Enrolment!U22-Enrolment!T22)&gt;0,(Enrolment!U22-Enrolment!T22),"0")</f>
        <v>3759.9949406250089</v>
      </c>
      <c r="I8" s="7">
        <f>IF((Enrolment!V22-Enrolment!U22)&gt;0,(Enrolment!V22-Enrolment!U22),"0")</f>
        <v>3947.9946876562608</v>
      </c>
      <c r="J8" s="7">
        <f>IF((Enrolment!W22-Enrolment!V22)&gt;0,(Enrolment!W22-Enrolment!V22),"0")</f>
        <v>4145.3944220390695</v>
      </c>
      <c r="K8" s="7">
        <f>IF((Enrolment!X22-Enrolment!W22)&gt;0,(Enrolment!X22-Enrolment!W22),"0")</f>
        <v>4352.6641431410244</v>
      </c>
      <c r="L8" s="7">
        <f>IF((Enrolment!Y22-Enrolment!X22)&gt;0,(Enrolment!Y22-Enrolment!X22),"0")</f>
        <v>4570.2973502980749</v>
      </c>
    </row>
    <row r="9" spans="1:12" x14ac:dyDescent="0.3">
      <c r="A9" s="10" t="str">
        <f>IF(Inputs!$J$5&gt;1,"Pre-Pri Year 2","")</f>
        <v>Pre-Pri Year 2</v>
      </c>
      <c r="B9" s="16" t="str">
        <f>IF(Inputs!$J$5&gt;1,"4","")</f>
        <v>4</v>
      </c>
      <c r="C9" s="57" t="s">
        <v>34</v>
      </c>
      <c r="D9" s="7" t="str">
        <f>IF((Enrolment!Q23-Enrolment!P23)&gt;0,(Enrolment!Q23-Enrolment!P23),"0")</f>
        <v>0</v>
      </c>
      <c r="E9" s="7">
        <f>IF((Enrolment!R23-Enrolment!Q23)&gt;0,(Enrolment!R23-Enrolment!Q23),"0")</f>
        <v>4271.41320000001</v>
      </c>
      <c r="F9" s="7">
        <f>IF((Enrolment!S23-Enrolment!R23)&gt;0,(Enrolment!S23-Enrolment!R23),"0")</f>
        <v>3946.4985240000096</v>
      </c>
      <c r="G9" s="7">
        <f>IF((Enrolment!T23-Enrolment!S23)&gt;0,(Enrolment!T23-Enrolment!S23),"0")</f>
        <v>4120.9055294400023</v>
      </c>
      <c r="H9" s="7">
        <f>IF((Enrolment!U23-Enrolment!T23)&gt;0,(Enrolment!U23-Enrolment!T23),"0")</f>
        <v>4347.4029929819953</v>
      </c>
      <c r="I9" s="7">
        <f>IF((Enrolment!V23-Enrolment!U23)&gt;0,(Enrolment!V23-Enrolment!U23),"0")</f>
        <v>4589.1681664349017</v>
      </c>
      <c r="J9" s="7">
        <f>IF((Enrolment!W23-Enrolment!V23)&gt;0,(Enrolment!W23-Enrolment!V23),"0")</f>
        <v>4844.1126114944636</v>
      </c>
      <c r="K9" s="7">
        <f>IF((Enrolment!X23-Enrolment!W23)&gt;0,(Enrolment!X23-Enrolment!W23),"0")</f>
        <v>5112.7476589560101</v>
      </c>
      <c r="L9" s="7">
        <f>IF((Enrolment!Y23-Enrolment!X23)&gt;0,(Enrolment!Y23-Enrolment!X23),"0")</f>
        <v>3567.6637094870675</v>
      </c>
    </row>
    <row r="10" spans="1:12" x14ac:dyDescent="0.3">
      <c r="A10" s="10" t="str">
        <f>IF(Inputs!$J$5&gt;2,"Pre-Pri Year 3","")</f>
        <v>Pre-Pri Year 3</v>
      </c>
      <c r="B10" s="16" t="str">
        <f>IF(Inputs!$J$5&lt;3,"","5")</f>
        <v>5</v>
      </c>
      <c r="C10" s="57" t="s">
        <v>34</v>
      </c>
      <c r="D10" s="7" t="str">
        <f>IF((Enrolment!Q24-Enrolment!P24)&gt;0,(Enrolment!Q24-Enrolment!P24),"0")</f>
        <v>0</v>
      </c>
      <c r="E10" s="7" t="str">
        <f>IF((Enrolment!R24-Enrolment!Q24)&gt;0,(Enrolment!R24-Enrolment!Q24),"0")</f>
        <v>0</v>
      </c>
      <c r="F10" s="7">
        <f>IF((Enrolment!S24-Enrolment!R24)&gt;0,(Enrolment!S24-Enrolment!R24),"0")</f>
        <v>3565.6755540000086</v>
      </c>
      <c r="G10" s="7">
        <f>IF((Enrolment!T24-Enrolment!S24)&gt;0,(Enrolment!T24-Enrolment!S24),"0")</f>
        <v>4527.0207367200128</v>
      </c>
      <c r="H10" s="7">
        <f>IF((Enrolment!U24-Enrolment!T24)&gt;0,(Enrolment!U24-Enrolment!T24),"0")</f>
        <v>4809.8382473040037</v>
      </c>
      <c r="I10" s="7">
        <f>IF((Enrolment!V24-Enrolment!U24)&gt;0,(Enrolment!V24-Enrolment!U24),"0")</f>
        <v>5111.7579182300251</v>
      </c>
      <c r="J10" s="7">
        <f>IF((Enrolment!W24-Enrolment!V24)&gt;0,(Enrolment!W24-Enrolment!V24),"0")</f>
        <v>5434.2416431654128</v>
      </c>
      <c r="K10" s="7">
        <f>IF((Enrolment!X24-Enrolment!W24)&gt;0,(Enrolment!X24-Enrolment!W24),"0")</f>
        <v>4103.3607249319175</v>
      </c>
      <c r="L10" s="7">
        <f>IF((Enrolment!Y24-Enrolment!X24)&gt;0,(Enrolment!Y24-Enrolment!X24),"0")</f>
        <v>5112.7476589560101</v>
      </c>
    </row>
    <row r="12" spans="1:12" x14ac:dyDescent="0.3">
      <c r="A12" s="10" t="s">
        <v>23</v>
      </c>
      <c r="B12" s="10" t="s">
        <v>75</v>
      </c>
      <c r="C12" s="10">
        <f>Inputs!$F$5</f>
        <v>2021</v>
      </c>
      <c r="D12" s="10">
        <f>C12+1</f>
        <v>2022</v>
      </c>
      <c r="E12" s="10">
        <f t="shared" ref="E12:L12" si="1">D12+1</f>
        <v>2023</v>
      </c>
      <c r="F12" s="10">
        <f t="shared" si="1"/>
        <v>2024</v>
      </c>
      <c r="G12" s="10">
        <f t="shared" si="1"/>
        <v>2025</v>
      </c>
      <c r="H12" s="10">
        <f t="shared" si="1"/>
        <v>2026</v>
      </c>
      <c r="I12" s="10">
        <f t="shared" si="1"/>
        <v>2027</v>
      </c>
      <c r="J12" s="10">
        <f t="shared" si="1"/>
        <v>2028</v>
      </c>
      <c r="K12" s="10">
        <f t="shared" si="1"/>
        <v>2029</v>
      </c>
      <c r="L12" s="10">
        <f t="shared" si="1"/>
        <v>2030</v>
      </c>
    </row>
    <row r="13" spans="1:12" x14ac:dyDescent="0.3">
      <c r="A13" s="10" t="str">
        <f>IF(Inputs!$J$5&gt;1,"Pre-Pri Year 1","Pre-Pri Year")</f>
        <v>Pre-Pri Year 1</v>
      </c>
      <c r="B13" s="16" t="str">
        <f>IF(Inputs!$J$5&gt;1,"3","3-5")</f>
        <v>3</v>
      </c>
      <c r="C13" s="57" t="s">
        <v>34</v>
      </c>
      <c r="D13" s="7">
        <f>IF((Enrolment!Q27-Enrolment!P27)&gt;0,(Enrolment!Q27-Enrolment!P27),"0")</f>
        <v>2493.1200000000026</v>
      </c>
      <c r="E13" s="7">
        <f>IF((Enrolment!R27-Enrolment!Q27)&gt;0,(Enrolment!R27-Enrolment!Q27),"0")</f>
        <v>2642.7072000000044</v>
      </c>
      <c r="F13" s="7">
        <f>IF((Enrolment!S27-Enrolment!R27)&gt;0,(Enrolment!S27-Enrolment!R27),"0")</f>
        <v>2801.2696320000032</v>
      </c>
      <c r="G13" s="7">
        <f>IF((Enrolment!T27-Enrolment!S27)&gt;0,(Enrolment!T27-Enrolment!S27),"0")</f>
        <v>2969.3458099199997</v>
      </c>
      <c r="H13" s="7">
        <f>IF((Enrolment!U27-Enrolment!T27)&gt;0,(Enrolment!U27-Enrolment!T27),"0")</f>
        <v>3147.5065585152042</v>
      </c>
      <c r="I13" s="7">
        <f>IF((Enrolment!V27-Enrolment!U27)&gt;0,(Enrolment!V27-Enrolment!U27),"0")</f>
        <v>3336.3569520261153</v>
      </c>
      <c r="J13" s="7">
        <f>IF((Enrolment!W27-Enrolment!V27)&gt;0,(Enrolment!W27-Enrolment!V27),"0")</f>
        <v>3536.5383691476818</v>
      </c>
      <c r="K13" s="7">
        <f>IF((Enrolment!X27-Enrolment!W27)&gt;0,(Enrolment!X27-Enrolment!W27),"0")</f>
        <v>3748.7306712965437</v>
      </c>
      <c r="L13" s="7">
        <f>IF((Enrolment!Y27-Enrolment!X27)&gt;0,(Enrolment!Y27-Enrolment!X27),"0")</f>
        <v>3973.6545115743356</v>
      </c>
    </row>
    <row r="14" spans="1:12" x14ac:dyDescent="0.3">
      <c r="A14" s="10" t="str">
        <f>IF(Inputs!$J$5&gt;1,"Pre-Pri Year 2","")</f>
        <v>Pre-Pri Year 2</v>
      </c>
      <c r="B14" s="16" t="str">
        <f>IF(Inputs!$J$5&gt;1,"4","")</f>
        <v>4</v>
      </c>
      <c r="C14" s="57" t="s">
        <v>34</v>
      </c>
      <c r="D14" s="7" t="str">
        <f>IF((Enrolment!Q28-Enrolment!P28)&gt;0,(Enrolment!Q28-Enrolment!P28),"0")</f>
        <v>0</v>
      </c>
      <c r="E14" s="7">
        <f>IF((Enrolment!R28-Enrolment!Q28)&gt;0,(Enrolment!R28-Enrolment!Q28),"0")</f>
        <v>1406.622000000003</v>
      </c>
      <c r="F14" s="7">
        <f>IF((Enrolment!S28-Enrolment!R28)&gt;0,(Enrolment!S28-Enrolment!R28),"0")</f>
        <v>2814.8426319999999</v>
      </c>
      <c r="G14" s="7">
        <f>IF((Enrolment!T28-Enrolment!S28)&gt;0,(Enrolment!T28-Enrolment!S28),"0")</f>
        <v>3046.0356264800066</v>
      </c>
      <c r="H14" s="7">
        <f>IF((Enrolment!U28-Enrolment!T28)&gt;0,(Enrolment!U28-Enrolment!T28),"0")</f>
        <v>3253.0581192480022</v>
      </c>
      <c r="I14" s="7">
        <f>IF((Enrolment!V28-Enrolment!U28)&gt;0,(Enrolment!V28-Enrolment!U28),"0")</f>
        <v>3944.8748866723836</v>
      </c>
      <c r="J14" s="7">
        <f>IF((Enrolment!W28-Enrolment!V28)&gt;0,(Enrolment!W28-Enrolment!V28),"0")</f>
        <v>4248.2945189132515</v>
      </c>
      <c r="K14" s="7">
        <f>IF((Enrolment!X28-Enrolment!W28)&gt;0,(Enrolment!X28-Enrolment!W28),"0")</f>
        <v>4573.9229574310011</v>
      </c>
      <c r="L14" s="7">
        <f>IF((Enrolment!Y28-Enrolment!X28)&gt;0,(Enrolment!Y28-Enrolment!X28),"0")</f>
        <v>4923.3329483027919</v>
      </c>
    </row>
    <row r="15" spans="1:12" x14ac:dyDescent="0.3">
      <c r="A15" s="10" t="str">
        <f>IF(Inputs!$J$5&gt;2,"Pre-Pri Year 3","")</f>
        <v>Pre-Pri Year 3</v>
      </c>
      <c r="B15" s="16" t="str">
        <f>IF(Inputs!$J$5&lt;3,"","5")</f>
        <v>5</v>
      </c>
      <c r="C15" s="57" t="s">
        <v>34</v>
      </c>
      <c r="D15" s="7" t="str">
        <f>IF((Enrolment!Q29-Enrolment!P29)&gt;0,(Enrolment!Q29-Enrolment!P29),"0")</f>
        <v>0</v>
      </c>
      <c r="E15" s="7" t="str">
        <f>IF((Enrolment!R29-Enrolment!Q29)&gt;0,(Enrolment!R29-Enrolment!Q29),"0")</f>
        <v>0</v>
      </c>
      <c r="F15" s="7">
        <f>IF((Enrolment!S29-Enrolment!R29)&gt;0,(Enrolment!S29-Enrolment!R29),"0")</f>
        <v>639.60073199999897</v>
      </c>
      <c r="G15" s="7">
        <f>IF((Enrolment!T29-Enrolment!S29)&gt;0,(Enrolment!T29-Enrolment!S29),"0")</f>
        <v>2969.0800994400051</v>
      </c>
      <c r="H15" s="7">
        <f>IF((Enrolment!U29-Enrolment!T29)&gt;0,(Enrolment!U29-Enrolment!T29),"0")</f>
        <v>3304.8741386760084</v>
      </c>
      <c r="I15" s="7">
        <f>IF((Enrolment!V29-Enrolment!U29)&gt;0,(Enrolment!V29-Enrolment!U29),"0")</f>
        <v>3561.9351049483157</v>
      </c>
      <c r="J15" s="7">
        <f>IF((Enrolment!W29-Enrolment!V29)&gt;0,(Enrolment!W29-Enrolment!V29),"0")</f>
        <v>4731.3318587600443</v>
      </c>
      <c r="K15" s="7">
        <f>IF((Enrolment!X29-Enrolment!W29)&gt;0,(Enrolment!X29-Enrolment!W29),"0")</f>
        <v>5186.478093822996</v>
      </c>
      <c r="L15" s="7">
        <f>IF((Enrolment!Y29-Enrolment!X29)&gt;0,(Enrolment!Y29-Enrolment!X29),"0")</f>
        <v>5682.0383130972768</v>
      </c>
    </row>
    <row r="17" spans="1:17" x14ac:dyDescent="0.3">
      <c r="A17" s="10" t="s">
        <v>50</v>
      </c>
      <c r="B17" s="10" t="s">
        <v>75</v>
      </c>
      <c r="C17" s="10">
        <f>Inputs!$F$5</f>
        <v>2021</v>
      </c>
      <c r="D17" s="10">
        <f>C17+1</f>
        <v>2022</v>
      </c>
      <c r="E17" s="10">
        <f t="shared" ref="E17:L17" si="2">D17+1</f>
        <v>2023</v>
      </c>
      <c r="F17" s="10">
        <f t="shared" si="2"/>
        <v>2024</v>
      </c>
      <c r="G17" s="10">
        <f t="shared" si="2"/>
        <v>2025</v>
      </c>
      <c r="H17" s="10">
        <f t="shared" si="2"/>
        <v>2026</v>
      </c>
      <c r="I17" s="10">
        <f t="shared" si="2"/>
        <v>2027</v>
      </c>
      <c r="J17" s="10">
        <f t="shared" si="2"/>
        <v>2028</v>
      </c>
      <c r="K17" s="10">
        <f t="shared" si="2"/>
        <v>2029</v>
      </c>
      <c r="L17" s="10">
        <f t="shared" si="2"/>
        <v>2030</v>
      </c>
    </row>
    <row r="18" spans="1:17" x14ac:dyDescent="0.3">
      <c r="A18" s="10" t="str">
        <f>IF(Inputs!$J$5&gt;1,"Pre-Pri Year 1","Pre-Pri Year")</f>
        <v>Pre-Pri Year 1</v>
      </c>
      <c r="B18" s="16" t="str">
        <f>IF(Inputs!$J$5&gt;1,"3","3-5")</f>
        <v>3</v>
      </c>
      <c r="C18" s="57" t="s">
        <v>34</v>
      </c>
      <c r="D18" s="7">
        <f t="shared" ref="D18:L18" si="3">D8+D13</f>
        <v>8398.6200000000099</v>
      </c>
      <c r="E18" s="7">
        <f t="shared" si="3"/>
        <v>5890.7322000000058</v>
      </c>
      <c r="F18" s="7">
        <f t="shared" si="3"/>
        <v>6211.6958820000073</v>
      </c>
      <c r="G18" s="7">
        <f t="shared" si="3"/>
        <v>6550.2933724200047</v>
      </c>
      <c r="H18" s="7">
        <f t="shared" si="3"/>
        <v>6907.5014991402131</v>
      </c>
      <c r="I18" s="7">
        <f t="shared" si="3"/>
        <v>7284.3516396823761</v>
      </c>
      <c r="J18" s="7">
        <f t="shared" si="3"/>
        <v>7681.9327911867513</v>
      </c>
      <c r="K18" s="7">
        <f t="shared" si="3"/>
        <v>8101.3948144375681</v>
      </c>
      <c r="L18" s="7">
        <f t="shared" si="3"/>
        <v>8543.9518618724105</v>
      </c>
    </row>
    <row r="19" spans="1:17" x14ac:dyDescent="0.3">
      <c r="A19" s="10" t="str">
        <f>IF(Inputs!$J$5&gt;1,"Pre-Pri Year 2","")</f>
        <v>Pre-Pri Year 2</v>
      </c>
      <c r="B19" s="16" t="str">
        <f>IF(Inputs!$J$5&gt;1,"4","")</f>
        <v>4</v>
      </c>
      <c r="C19" s="57" t="s">
        <v>34</v>
      </c>
      <c r="D19" s="7">
        <f t="shared" ref="D19:L19" si="4">D9+D14</f>
        <v>0</v>
      </c>
      <c r="E19" s="7">
        <f t="shared" si="4"/>
        <v>5678.035200000013</v>
      </c>
      <c r="F19" s="7">
        <f t="shared" si="4"/>
        <v>6761.3411560000095</v>
      </c>
      <c r="G19" s="7">
        <f t="shared" si="4"/>
        <v>7166.9411559200089</v>
      </c>
      <c r="H19" s="7">
        <f t="shared" si="4"/>
        <v>7600.4611122299975</v>
      </c>
      <c r="I19" s="7">
        <f t="shared" si="4"/>
        <v>8534.0430531072852</v>
      </c>
      <c r="J19" s="7">
        <f t="shared" si="4"/>
        <v>9092.4071304077152</v>
      </c>
      <c r="K19" s="7">
        <f t="shared" si="4"/>
        <v>9686.6706163870113</v>
      </c>
      <c r="L19" s="7">
        <f t="shared" si="4"/>
        <v>8490.9966577898595</v>
      </c>
    </row>
    <row r="20" spans="1:17" x14ac:dyDescent="0.3">
      <c r="A20" s="10" t="str">
        <f>IF(Inputs!$J$5&gt;2,"Pre-Pri Year 3","")</f>
        <v>Pre-Pri Year 3</v>
      </c>
      <c r="B20" s="16" t="str">
        <f>IF(Inputs!$J$5&lt;3,"","5")</f>
        <v>5</v>
      </c>
      <c r="C20" s="57" t="s">
        <v>34</v>
      </c>
      <c r="D20" s="7">
        <f t="shared" ref="D20:L20" si="5">D10+D15</f>
        <v>0</v>
      </c>
      <c r="E20" s="7">
        <f t="shared" si="5"/>
        <v>0</v>
      </c>
      <c r="F20" s="7">
        <f t="shared" si="5"/>
        <v>4205.2762860000075</v>
      </c>
      <c r="G20" s="7">
        <f t="shared" si="5"/>
        <v>7496.1008361600179</v>
      </c>
      <c r="H20" s="7">
        <f t="shared" si="5"/>
        <v>8114.7123859800122</v>
      </c>
      <c r="I20" s="7">
        <f t="shared" si="5"/>
        <v>8673.6930231783408</v>
      </c>
      <c r="J20" s="7">
        <f t="shared" si="5"/>
        <v>10165.573501925457</v>
      </c>
      <c r="K20" s="7">
        <f t="shared" si="5"/>
        <v>9289.8388187549135</v>
      </c>
      <c r="L20" s="7">
        <f t="shared" si="5"/>
        <v>10794.785972053287</v>
      </c>
    </row>
    <row r="22" spans="1:17" x14ac:dyDescent="0.3">
      <c r="A22" s="3" t="str">
        <f>"Additional "&amp;Semantics!B8&amp;"s - Public"</f>
        <v>Additional Classrooms - Public</v>
      </c>
      <c r="B22" s="3"/>
    </row>
    <row r="23" spans="1:17" x14ac:dyDescent="0.3">
      <c r="C23" s="28" t="s">
        <v>76</v>
      </c>
    </row>
    <row r="24" spans="1:17" x14ac:dyDescent="0.3">
      <c r="A24" s="10" t="s">
        <v>124</v>
      </c>
      <c r="B24" s="10" t="s">
        <v>74</v>
      </c>
      <c r="C24" s="10">
        <f>Inputs!$F$5</f>
        <v>2021</v>
      </c>
      <c r="D24" s="10">
        <f>C24+1</f>
        <v>2022</v>
      </c>
      <c r="E24" s="10">
        <f t="shared" ref="E24:L24" si="6">D24+1</f>
        <v>2023</v>
      </c>
      <c r="F24" s="10">
        <f t="shared" si="6"/>
        <v>2024</v>
      </c>
      <c r="G24" s="10">
        <f t="shared" si="6"/>
        <v>2025</v>
      </c>
      <c r="H24" s="10">
        <f t="shared" si="6"/>
        <v>2026</v>
      </c>
      <c r="I24" s="10">
        <f t="shared" si="6"/>
        <v>2027</v>
      </c>
      <c r="J24" s="10">
        <f t="shared" si="6"/>
        <v>2028</v>
      </c>
      <c r="K24" s="10">
        <f t="shared" si="6"/>
        <v>2029</v>
      </c>
      <c r="L24" s="10">
        <f t="shared" si="6"/>
        <v>2030</v>
      </c>
      <c r="N24" s="13" t="s">
        <v>52</v>
      </c>
    </row>
    <row r="25" spans="1:17" x14ac:dyDescent="0.3">
      <c r="A25" s="10" t="str">
        <f>IF(Inputs!$J$5&gt;1,"Pre-Pri Year 1","Pre-Pri Year")</f>
        <v>Pre-Pri Year 1</v>
      </c>
      <c r="B25" s="16" t="str">
        <f>IF(Inputs!$J$5&gt;1,"Male","Male")</f>
        <v>Male</v>
      </c>
      <c r="C25" s="57">
        <f>Inputs!C67</f>
        <v>756</v>
      </c>
      <c r="D25" s="7">
        <f>D8/$P$25</f>
        <v>196.85000000000025</v>
      </c>
      <c r="E25" s="7">
        <f t="shared" ref="E25:L25" si="7">E8/$P$25</f>
        <v>108.26750000000006</v>
      </c>
      <c r="F25" s="7">
        <f t="shared" si="7"/>
        <v>113.68087500000014</v>
      </c>
      <c r="G25" s="7">
        <f t="shared" si="7"/>
        <v>119.36491875000017</v>
      </c>
      <c r="H25" s="7">
        <f t="shared" si="7"/>
        <v>125.3331646875003</v>
      </c>
      <c r="I25" s="7">
        <f t="shared" si="7"/>
        <v>131.59982292187536</v>
      </c>
      <c r="J25" s="7">
        <f t="shared" si="7"/>
        <v>138.17981406796898</v>
      </c>
      <c r="K25" s="7">
        <f t="shared" si="7"/>
        <v>145.08880477136748</v>
      </c>
      <c r="L25" s="7">
        <f t="shared" si="7"/>
        <v>152.34324500993583</v>
      </c>
      <c r="N25" t="s">
        <v>13</v>
      </c>
      <c r="O25" t="str">
        <f>"1 new "&amp;Semantics!B8&amp;" for"</f>
        <v>1 new Classroom for</v>
      </c>
      <c r="P25" s="86">
        <f>'Policy Decisions'!K36</f>
        <v>30</v>
      </c>
      <c r="Q25" t="s">
        <v>53</v>
      </c>
    </row>
    <row r="26" spans="1:17" x14ac:dyDescent="0.3">
      <c r="A26" s="10" t="str">
        <f>IF(Inputs!$J$5&gt;1,"Pre-Pri Year 2","")</f>
        <v>Pre-Pri Year 2</v>
      </c>
      <c r="B26" s="16" t="str">
        <f>IF(Inputs!$J$5&gt;1,"Male","")</f>
        <v>Male</v>
      </c>
      <c r="C26" s="57">
        <f>Inputs!C68</f>
        <v>456</v>
      </c>
      <c r="D26" s="7">
        <f t="shared" ref="D26:L27" si="8">D9/$P$25</f>
        <v>0</v>
      </c>
      <c r="E26" s="7">
        <f t="shared" si="8"/>
        <v>142.38044000000033</v>
      </c>
      <c r="F26" s="7">
        <f t="shared" si="8"/>
        <v>131.54995080000032</v>
      </c>
      <c r="G26" s="7">
        <f t="shared" si="8"/>
        <v>137.36351764800008</v>
      </c>
      <c r="H26" s="7">
        <f t="shared" si="8"/>
        <v>144.91343309939984</v>
      </c>
      <c r="I26" s="7">
        <f t="shared" si="8"/>
        <v>152.97227221449671</v>
      </c>
      <c r="J26" s="7">
        <f t="shared" si="8"/>
        <v>161.47042038314879</v>
      </c>
      <c r="K26" s="7">
        <f t="shared" si="8"/>
        <v>170.42492196520033</v>
      </c>
      <c r="L26" s="7">
        <f t="shared" si="8"/>
        <v>118.92212364956892</v>
      </c>
      <c r="N26" t="s">
        <v>14</v>
      </c>
      <c r="O26" t="str">
        <f>"1 new "&amp;Semantics!B8&amp;" for"</f>
        <v>1 new Classroom for</v>
      </c>
      <c r="P26" s="86">
        <f>'Policy Decisions'!K37</f>
        <v>30</v>
      </c>
      <c r="Q26" t="s">
        <v>53</v>
      </c>
    </row>
    <row r="27" spans="1:17" x14ac:dyDescent="0.3">
      <c r="A27" s="10" t="str">
        <f>IF(Inputs!$J$5=3,"Pre-Pri Year 3","")</f>
        <v>Pre-Pri Year 3</v>
      </c>
      <c r="B27" s="16" t="str">
        <f>IF(Inputs!$J$5=3,"Male","")</f>
        <v>Male</v>
      </c>
      <c r="C27" s="57">
        <f>Inputs!C69</f>
        <v>852</v>
      </c>
      <c r="D27" s="7">
        <f t="shared" si="8"/>
        <v>0</v>
      </c>
      <c r="E27" s="7">
        <f t="shared" si="8"/>
        <v>0</v>
      </c>
      <c r="F27" s="7">
        <f t="shared" si="8"/>
        <v>118.85585180000028</v>
      </c>
      <c r="G27" s="7">
        <f t="shared" si="8"/>
        <v>150.90069122400044</v>
      </c>
      <c r="H27" s="7">
        <f t="shared" si="8"/>
        <v>160.32794157680013</v>
      </c>
      <c r="I27" s="7">
        <f t="shared" si="8"/>
        <v>170.39193060766749</v>
      </c>
      <c r="J27" s="7">
        <f t="shared" si="8"/>
        <v>181.14138810551376</v>
      </c>
      <c r="K27" s="7">
        <f t="shared" si="8"/>
        <v>136.77869083106393</v>
      </c>
      <c r="L27" s="7">
        <f t="shared" si="8"/>
        <v>170.42492196520033</v>
      </c>
    </row>
    <row r="28" spans="1:17" x14ac:dyDescent="0.3">
      <c r="A28" s="10" t="str">
        <f>IF(Inputs!$J$5&gt;1,"Pre-Pri Year 1","Pre-Pri Year")</f>
        <v>Pre-Pri Year 1</v>
      </c>
      <c r="B28" s="16" t="str">
        <f>IF(Inputs!$J$5&gt;1,"Female","Female")</f>
        <v>Female</v>
      </c>
      <c r="C28" s="57">
        <f>Inputs!C70</f>
        <v>645</v>
      </c>
      <c r="D28" s="7">
        <f>D13/$P$26</f>
        <v>83.104000000000084</v>
      </c>
      <c r="E28" s="7">
        <f t="shared" ref="E28:L28" si="9">E13/$P$26</f>
        <v>88.090240000000151</v>
      </c>
      <c r="F28" s="7">
        <f t="shared" si="9"/>
        <v>93.375654400000101</v>
      </c>
      <c r="G28" s="7">
        <f t="shared" si="9"/>
        <v>98.978193663999988</v>
      </c>
      <c r="H28" s="7">
        <f t="shared" si="9"/>
        <v>104.91688528384014</v>
      </c>
      <c r="I28" s="7">
        <f t="shared" si="9"/>
        <v>111.21189840087051</v>
      </c>
      <c r="J28" s="7">
        <f t="shared" si="9"/>
        <v>117.88461230492273</v>
      </c>
      <c r="K28" s="7">
        <f t="shared" si="9"/>
        <v>124.95768904321812</v>
      </c>
      <c r="L28" s="7">
        <f t="shared" si="9"/>
        <v>132.45515038581118</v>
      </c>
    </row>
    <row r="29" spans="1:17" x14ac:dyDescent="0.3">
      <c r="A29" s="10" t="str">
        <f>IF(Inputs!$J$5&gt;1,"Pre-Pri Year 2","")</f>
        <v>Pre-Pri Year 2</v>
      </c>
      <c r="B29" s="16" t="str">
        <f>IF(Inputs!$J$5&gt;1,"Female","")</f>
        <v>Female</v>
      </c>
      <c r="C29" s="57">
        <f>Inputs!C71</f>
        <v>398</v>
      </c>
      <c r="D29" s="7">
        <f t="shared" ref="D29:L30" si="10">D14/$P$26</f>
        <v>0</v>
      </c>
      <c r="E29" s="7">
        <f t="shared" si="10"/>
        <v>46.887400000000099</v>
      </c>
      <c r="F29" s="7">
        <f t="shared" si="10"/>
        <v>93.828087733333334</v>
      </c>
      <c r="G29" s="7">
        <f t="shared" si="10"/>
        <v>101.53452088266688</v>
      </c>
      <c r="H29" s="7">
        <f t="shared" si="10"/>
        <v>108.43527064160007</v>
      </c>
      <c r="I29" s="7">
        <f t="shared" si="10"/>
        <v>131.49582955574613</v>
      </c>
      <c r="J29" s="7">
        <f t="shared" si="10"/>
        <v>141.60981729710838</v>
      </c>
      <c r="K29" s="7">
        <f t="shared" si="10"/>
        <v>152.46409858103337</v>
      </c>
      <c r="L29" s="7">
        <f t="shared" si="10"/>
        <v>164.11109827675972</v>
      </c>
    </row>
    <row r="30" spans="1:17" x14ac:dyDescent="0.3">
      <c r="A30" s="10" t="str">
        <f>IF(Inputs!$J$5=3,"Pre-Pri Year 3","")</f>
        <v>Pre-Pri Year 3</v>
      </c>
      <c r="B30" s="16" t="str">
        <f>IF(Inputs!$J$5=3,"Female","")</f>
        <v>Female</v>
      </c>
      <c r="C30" s="57">
        <f>Inputs!C72</f>
        <v>726</v>
      </c>
      <c r="D30" s="7">
        <f t="shared" si="10"/>
        <v>0</v>
      </c>
      <c r="E30" s="7">
        <f t="shared" si="10"/>
        <v>0</v>
      </c>
      <c r="F30" s="7">
        <f t="shared" si="10"/>
        <v>21.320024399999966</v>
      </c>
      <c r="G30" s="7">
        <f t="shared" si="10"/>
        <v>98.969336648000166</v>
      </c>
      <c r="H30" s="7">
        <f t="shared" si="10"/>
        <v>110.16247128920028</v>
      </c>
      <c r="I30" s="7">
        <f t="shared" si="10"/>
        <v>118.73117016494386</v>
      </c>
      <c r="J30" s="7">
        <f t="shared" si="10"/>
        <v>157.71106195866815</v>
      </c>
      <c r="K30" s="7">
        <f t="shared" si="10"/>
        <v>172.88260312743321</v>
      </c>
      <c r="L30" s="7">
        <f t="shared" si="10"/>
        <v>189.40127710324256</v>
      </c>
    </row>
    <row r="31" spans="1:17" x14ac:dyDescent="0.3">
      <c r="A31" s="10" t="str">
        <f>IF(Inputs!$J$5&gt;1,"Pre-Pri Year 1","Pre-Pri Year")</f>
        <v>Pre-Pri Year 1</v>
      </c>
      <c r="B31" s="16" t="str">
        <f>IF(Inputs!$J$5&gt;1,"Total","Total")</f>
        <v>Total</v>
      </c>
      <c r="C31" s="57">
        <f>C25+C28</f>
        <v>1401</v>
      </c>
      <c r="D31" s="19">
        <f>D25+D28</f>
        <v>279.95400000000035</v>
      </c>
      <c r="E31" s="19">
        <f t="shared" ref="E31:L33" si="11">E25+E28</f>
        <v>196.35774000000021</v>
      </c>
      <c r="F31" s="19">
        <f t="shared" si="11"/>
        <v>207.05652940000024</v>
      </c>
      <c r="G31" s="19">
        <f t="shared" si="11"/>
        <v>218.34311241400016</v>
      </c>
      <c r="H31" s="19">
        <f t="shared" si="11"/>
        <v>230.25004997134045</v>
      </c>
      <c r="I31" s="19">
        <f t="shared" si="11"/>
        <v>242.81172132274588</v>
      </c>
      <c r="J31" s="19">
        <f t="shared" si="11"/>
        <v>256.06442637289172</v>
      </c>
      <c r="K31" s="19">
        <f t="shared" si="11"/>
        <v>270.04649381458557</v>
      </c>
      <c r="L31" s="19">
        <f t="shared" si="11"/>
        <v>284.79839539574698</v>
      </c>
    </row>
    <row r="32" spans="1:17" x14ac:dyDescent="0.3">
      <c r="A32" s="10" t="str">
        <f>IF(Inputs!$J$5&gt;1,"Pre-Pri Year 2","")</f>
        <v>Pre-Pri Year 2</v>
      </c>
      <c r="B32" s="16" t="str">
        <f>IF(Inputs!$J$5&gt;1,"Total","Total")</f>
        <v>Total</v>
      </c>
      <c r="C32" s="57">
        <f t="shared" ref="C32:D33" si="12">C26+C29</f>
        <v>854</v>
      </c>
      <c r="D32" s="19">
        <f t="shared" si="12"/>
        <v>0</v>
      </c>
      <c r="E32" s="19">
        <f t="shared" si="11"/>
        <v>189.26784000000043</v>
      </c>
      <c r="F32" s="19">
        <f t="shared" si="11"/>
        <v>225.37803853333367</v>
      </c>
      <c r="G32" s="19">
        <f t="shared" si="11"/>
        <v>238.89803853066695</v>
      </c>
      <c r="H32" s="19">
        <f t="shared" si="11"/>
        <v>253.34870374099989</v>
      </c>
      <c r="I32" s="19">
        <f t="shared" si="11"/>
        <v>284.46810177024281</v>
      </c>
      <c r="J32" s="19">
        <f t="shared" si="11"/>
        <v>303.08023768025714</v>
      </c>
      <c r="K32" s="19">
        <f t="shared" si="11"/>
        <v>322.88902054623372</v>
      </c>
      <c r="L32" s="19">
        <f t="shared" si="11"/>
        <v>283.03322192632862</v>
      </c>
    </row>
    <row r="33" spans="1:17" x14ac:dyDescent="0.3">
      <c r="A33" s="10" t="str">
        <f>IF(Inputs!$J$5=3,"Pre-Pri Year 3","")</f>
        <v>Pre-Pri Year 3</v>
      </c>
      <c r="B33" s="16" t="str">
        <f>IF(Inputs!$J$5&gt;1,"Total","Total")</f>
        <v>Total</v>
      </c>
      <c r="C33" s="57">
        <f t="shared" si="12"/>
        <v>1578</v>
      </c>
      <c r="D33" s="19">
        <f t="shared" si="12"/>
        <v>0</v>
      </c>
      <c r="E33" s="19">
        <f t="shared" si="11"/>
        <v>0</v>
      </c>
      <c r="F33" s="19">
        <f t="shared" si="11"/>
        <v>140.17587620000023</v>
      </c>
      <c r="G33" s="19">
        <f t="shared" si="11"/>
        <v>249.87002787200061</v>
      </c>
      <c r="H33" s="19">
        <f t="shared" si="11"/>
        <v>270.49041286600038</v>
      </c>
      <c r="I33" s="19">
        <f t="shared" si="11"/>
        <v>289.12310077261134</v>
      </c>
      <c r="J33" s="19">
        <f t="shared" si="11"/>
        <v>338.85245006418188</v>
      </c>
      <c r="K33" s="19">
        <f t="shared" si="11"/>
        <v>309.66129395849714</v>
      </c>
      <c r="L33" s="19">
        <f t="shared" si="11"/>
        <v>359.82619906844286</v>
      </c>
    </row>
    <row r="34" spans="1:17" x14ac:dyDescent="0.3">
      <c r="A34" s="10" t="s">
        <v>73</v>
      </c>
      <c r="B34" s="16" t="s">
        <v>13</v>
      </c>
      <c r="C34" s="57">
        <f>C25+C26+C27</f>
        <v>2064</v>
      </c>
      <c r="D34" s="29">
        <f>D25+D26+D27</f>
        <v>196.85000000000025</v>
      </c>
      <c r="E34" s="29">
        <f t="shared" ref="E34:L34" si="13">E25+E26+E27</f>
        <v>250.6479400000004</v>
      </c>
      <c r="F34" s="29">
        <f t="shared" si="13"/>
        <v>364.08667760000071</v>
      </c>
      <c r="G34" s="29">
        <f t="shared" si="13"/>
        <v>407.62912762200074</v>
      </c>
      <c r="H34" s="29">
        <f t="shared" si="13"/>
        <v>430.57453936370024</v>
      </c>
      <c r="I34" s="29">
        <f t="shared" si="13"/>
        <v>454.96402574403953</v>
      </c>
      <c r="J34" s="29">
        <f t="shared" si="13"/>
        <v>480.79162255663152</v>
      </c>
      <c r="K34" s="29">
        <f t="shared" si="13"/>
        <v>452.29241756763179</v>
      </c>
      <c r="L34" s="29">
        <f t="shared" si="13"/>
        <v>441.69029062470509</v>
      </c>
    </row>
    <row r="35" spans="1:17" x14ac:dyDescent="0.3">
      <c r="A35" s="10" t="s">
        <v>73</v>
      </c>
      <c r="B35" s="16" t="s">
        <v>14</v>
      </c>
      <c r="C35" s="57">
        <f>C28+C29+C30</f>
        <v>1769</v>
      </c>
      <c r="D35" s="29">
        <f>D28+D29+D30</f>
        <v>83.104000000000084</v>
      </c>
      <c r="E35" s="29">
        <f t="shared" ref="E35:L35" si="14">E28+E29+E30</f>
        <v>134.97764000000024</v>
      </c>
      <c r="F35" s="29">
        <f t="shared" si="14"/>
        <v>208.5237665333334</v>
      </c>
      <c r="G35" s="29">
        <f t="shared" si="14"/>
        <v>299.48205119466706</v>
      </c>
      <c r="H35" s="29">
        <f t="shared" si="14"/>
        <v>323.51462721464054</v>
      </c>
      <c r="I35" s="29">
        <f t="shared" si="14"/>
        <v>361.4388981215605</v>
      </c>
      <c r="J35" s="29">
        <f t="shared" si="14"/>
        <v>417.20549156069927</v>
      </c>
      <c r="K35" s="29">
        <f t="shared" si="14"/>
        <v>450.30439075168465</v>
      </c>
      <c r="L35" s="29">
        <f t="shared" si="14"/>
        <v>485.96752576581343</v>
      </c>
    </row>
    <row r="36" spans="1:17" x14ac:dyDescent="0.3">
      <c r="A36" s="10" t="s">
        <v>73</v>
      </c>
      <c r="B36" s="16" t="s">
        <v>18</v>
      </c>
      <c r="C36" s="57">
        <f>C31+C32+C33</f>
        <v>3833</v>
      </c>
      <c r="D36" s="29">
        <f>D31+D32+D33</f>
        <v>279.95400000000035</v>
      </c>
      <c r="E36" s="29">
        <f t="shared" ref="E36:L36" si="15">E31+E32+E33</f>
        <v>385.62558000000064</v>
      </c>
      <c r="F36" s="29">
        <f t="shared" si="15"/>
        <v>572.61044413333411</v>
      </c>
      <c r="G36" s="29">
        <f t="shared" si="15"/>
        <v>707.11117881666769</v>
      </c>
      <c r="H36" s="29">
        <f t="shared" si="15"/>
        <v>754.08916657834072</v>
      </c>
      <c r="I36" s="29">
        <f t="shared" si="15"/>
        <v>816.40292386559997</v>
      </c>
      <c r="J36" s="29">
        <f t="shared" si="15"/>
        <v>897.99711411733074</v>
      </c>
      <c r="K36" s="29">
        <f t="shared" si="15"/>
        <v>902.59680831931644</v>
      </c>
      <c r="L36" s="29">
        <f t="shared" si="15"/>
        <v>927.65781639051841</v>
      </c>
    </row>
    <row r="38" spans="1:17" x14ac:dyDescent="0.3">
      <c r="A38" s="13" t="s">
        <v>20</v>
      </c>
    </row>
    <row r="39" spans="1:17" x14ac:dyDescent="0.3">
      <c r="A39" t="str">
        <f>"An ECE "&amp;Semantics!B8&amp;" is a permanent structure, mainly concreted with electricity and good ventilation, and will have adequate space for at least 40 students"</f>
        <v>An ECE Classroom is a permanent structure, mainly concreted with electricity and good ventilation, and will have adequate space for at least 40 students</v>
      </c>
    </row>
    <row r="41" spans="1:17" x14ac:dyDescent="0.3">
      <c r="A41" s="3" t="str">
        <f>"Existing "&amp;Semantics!B8&amp;"s Gap - Public"</f>
        <v>Existing Classrooms Gap - Public</v>
      </c>
      <c r="B41" s="3"/>
    </row>
    <row r="42" spans="1:17" x14ac:dyDescent="0.3">
      <c r="C42" s="28" t="s">
        <v>77</v>
      </c>
    </row>
    <row r="43" spans="1:17" x14ac:dyDescent="0.3">
      <c r="A43" s="10" t="s">
        <v>124</v>
      </c>
      <c r="B43" s="10" t="s">
        <v>74</v>
      </c>
      <c r="C43" s="10">
        <f>Inputs!$F$5</f>
        <v>2021</v>
      </c>
      <c r="D43" s="10">
        <f>C43+1</f>
        <v>2022</v>
      </c>
      <c r="E43" s="10">
        <f t="shared" ref="E43:L43" si="16">D43+1</f>
        <v>2023</v>
      </c>
      <c r="F43" s="10">
        <f t="shared" si="16"/>
        <v>2024</v>
      </c>
      <c r="G43" s="10">
        <f t="shared" si="16"/>
        <v>2025</v>
      </c>
      <c r="H43" s="10">
        <f t="shared" si="16"/>
        <v>2026</v>
      </c>
      <c r="I43" s="10">
        <f t="shared" si="16"/>
        <v>2027</v>
      </c>
      <c r="J43" s="10">
        <f t="shared" si="16"/>
        <v>2028</v>
      </c>
      <c r="K43" s="10">
        <f t="shared" si="16"/>
        <v>2029</v>
      </c>
      <c r="L43" s="10">
        <f t="shared" si="16"/>
        <v>2030</v>
      </c>
      <c r="N43" s="13" t="s">
        <v>52</v>
      </c>
    </row>
    <row r="44" spans="1:17" x14ac:dyDescent="0.3">
      <c r="A44" s="10" t="str">
        <f>IF(Inputs!$J$5&gt;1,"Pre-Pri Year 1","Pre-Pri Year")</f>
        <v>Pre-Pri Year 1</v>
      </c>
      <c r="B44" s="16" t="str">
        <f>IF(Inputs!$J$5&gt;1,"Male","Male")</f>
        <v>Male</v>
      </c>
      <c r="C44" s="57">
        <f>Inputs!D67+Inputs!I67</f>
        <v>409</v>
      </c>
      <c r="D44" s="7">
        <f>IF($P$44&gt;0,$C$44/$P$44,"0")</f>
        <v>81.8</v>
      </c>
      <c r="E44" s="7">
        <f>IF($P$44&gt;1,$C$44/$P$44,"0")</f>
        <v>81.8</v>
      </c>
      <c r="F44" s="7">
        <f>IF($P$44&gt;2,$C$44/$P$44,"0")</f>
        <v>81.8</v>
      </c>
      <c r="G44" s="7">
        <f>IF($P$44&gt;3,$C$44/$P$44,"0")</f>
        <v>81.8</v>
      </c>
      <c r="H44" s="7">
        <f>IF($P$44&gt;4,$C$44/$P$44,"0")</f>
        <v>81.8</v>
      </c>
      <c r="I44" s="7" t="str">
        <f>IF($P$44&gt;5,$C$44/$P$44,"0")</f>
        <v>0</v>
      </c>
      <c r="J44" s="7" t="str">
        <f>IF($P$44&gt;6,$C$44/$P$44,"0")</f>
        <v>0</v>
      </c>
      <c r="K44" s="7" t="str">
        <f>IF($P$44&gt;7,$C$44/$P$44,"0")</f>
        <v>0</v>
      </c>
      <c r="L44" s="7" t="str">
        <f>IF($P$44&gt;8,$C$44/$P$44,"0")</f>
        <v>0</v>
      </c>
      <c r="N44" t="s">
        <v>13</v>
      </c>
      <c r="O44" t="s">
        <v>54</v>
      </c>
      <c r="P44" s="85">
        <f>'Policy Decisions'!K41</f>
        <v>5</v>
      </c>
      <c r="Q44" t="s">
        <v>24</v>
      </c>
    </row>
    <row r="45" spans="1:17" x14ac:dyDescent="0.3">
      <c r="A45" s="10" t="str">
        <f>IF(Inputs!$J$5&gt;1,"Pre-Pri Year 2","")</f>
        <v>Pre-Pri Year 2</v>
      </c>
      <c r="B45" s="16" t="str">
        <f>IF(Inputs!$J$5&gt;1,"Male","")</f>
        <v>Male</v>
      </c>
      <c r="C45" s="57">
        <f>Inputs!D68+Inputs!I68</f>
        <v>360</v>
      </c>
      <c r="D45" s="7">
        <f>IF($P$46&gt;0,$C$45/$P$46,"0")</f>
        <v>72</v>
      </c>
      <c r="E45" s="7">
        <f>IF($P$46&gt;1,$C$45/$P$46,"0")</f>
        <v>72</v>
      </c>
      <c r="F45" s="7">
        <f>IF($P$46&gt;2,$C$45/$P$46,"0")</f>
        <v>72</v>
      </c>
      <c r="G45" s="7">
        <f>IF($P$46&gt;3,$C$45/$P$46,"0")</f>
        <v>72</v>
      </c>
      <c r="H45" s="7">
        <f>IF($P$46&gt;4,$C$45/$P$46,"0")</f>
        <v>72</v>
      </c>
      <c r="I45" s="7" t="str">
        <f>IF($P$46&gt;5,$C$45/$P$46,"0")</f>
        <v>0</v>
      </c>
      <c r="J45" s="7" t="str">
        <f>IF($P$46&gt;6,$C$45/$P$46,"0")</f>
        <v>0</v>
      </c>
      <c r="K45" s="7" t="str">
        <f>IF($P$46&gt;7,$C$45/$P$46,"0")</f>
        <v>0</v>
      </c>
      <c r="L45" s="7" t="str">
        <f>IF($P$46&gt;8,$C$45/$P$46,"0")</f>
        <v>0</v>
      </c>
      <c r="N45" t="s">
        <v>14</v>
      </c>
      <c r="O45" t="s">
        <v>54</v>
      </c>
      <c r="P45" s="85">
        <f>'Policy Decisions'!K42</f>
        <v>5</v>
      </c>
      <c r="Q45" t="s">
        <v>24</v>
      </c>
    </row>
    <row r="46" spans="1:17" x14ac:dyDescent="0.3">
      <c r="A46" s="10" t="str">
        <f>IF(Inputs!$J$5=3,"Pre-Pri Year 3","")</f>
        <v>Pre-Pri Year 3</v>
      </c>
      <c r="B46" s="16" t="str">
        <f>IF(Inputs!$J$5=3,"Male","")</f>
        <v>Male</v>
      </c>
      <c r="C46" s="57">
        <f>Inputs!D69+Inputs!I69</f>
        <v>202</v>
      </c>
      <c r="D46" s="7">
        <f>IF($P$48&gt;0,$C$46/$P$48,"0")</f>
        <v>40.4</v>
      </c>
      <c r="E46" s="7">
        <f>IF($P$48&gt;1,$C$46/$P$48,"0")</f>
        <v>40.4</v>
      </c>
      <c r="F46" s="7">
        <f>IF($P$48&gt;2,$C$46/$P$48,"0")</f>
        <v>40.4</v>
      </c>
      <c r="G46" s="7">
        <f>IF($P$48&gt;3,$C$46/$P$48,"0")</f>
        <v>40.4</v>
      </c>
      <c r="H46" s="7">
        <f>IF($P$48&gt;4,$C$46/$P$48,"0")</f>
        <v>40.4</v>
      </c>
      <c r="I46" s="7" t="str">
        <f>IF($P$48&gt;5,$C$46/$P$48,"0")</f>
        <v>0</v>
      </c>
      <c r="J46" s="7" t="str">
        <f>IF($P$48&gt;6,$C$46/$P$48,"0")</f>
        <v>0</v>
      </c>
      <c r="K46" s="7" t="str">
        <f>IF($P$48&gt;7,$C$46/$P$48,"0")</f>
        <v>0</v>
      </c>
      <c r="L46" s="7" t="str">
        <f>IF($P$48&gt;8,$C$46/$P$48,"0")</f>
        <v>0</v>
      </c>
      <c r="N46" t="s">
        <v>13</v>
      </c>
      <c r="O46" t="s">
        <v>54</v>
      </c>
      <c r="P46" s="85">
        <f>'Policy Decisions'!K43</f>
        <v>5</v>
      </c>
      <c r="Q46" t="s">
        <v>25</v>
      </c>
    </row>
    <row r="47" spans="1:17" x14ac:dyDescent="0.3">
      <c r="A47" s="10" t="str">
        <f>IF(Inputs!$J$5&gt;1,"Pre-Pri Year 1","Pre-Pri Year")</f>
        <v>Pre-Pri Year 1</v>
      </c>
      <c r="B47" s="16" t="str">
        <f>IF(Inputs!$J$5&gt;1,"Female","Female")</f>
        <v>Female</v>
      </c>
      <c r="C47" s="57">
        <f>Inputs!D70+Inputs!I70</f>
        <v>512</v>
      </c>
      <c r="D47" s="7">
        <f>IF($P$45&gt;0,$C$47/$P$45,"0")</f>
        <v>102.4</v>
      </c>
      <c r="E47" s="7">
        <f>IF($P$45&gt;1,$C$47/$P$45,"0")</f>
        <v>102.4</v>
      </c>
      <c r="F47" s="7">
        <f>IF($P$45&gt;2,$C$47/$P$45,"0")</f>
        <v>102.4</v>
      </c>
      <c r="G47" s="7">
        <f>IF($P$45&gt;3,$C$47/$P$45,"0")</f>
        <v>102.4</v>
      </c>
      <c r="H47" s="7">
        <f>IF($P$45&gt;4,$C$47/$P$45,"0")</f>
        <v>102.4</v>
      </c>
      <c r="I47" s="7" t="str">
        <f>IF($P$45&gt;5,$C$47/$P$45,"0")</f>
        <v>0</v>
      </c>
      <c r="J47" s="7" t="str">
        <f>IF($P$45&gt;6,$C$47/$P$45,"0")</f>
        <v>0</v>
      </c>
      <c r="K47" s="7" t="str">
        <f>IF($P$45&gt;7,$C$47/$P$45,"0")</f>
        <v>0</v>
      </c>
      <c r="L47" s="7" t="str">
        <f>IF($P$45&gt;8,$C$47/$P$45,"0")</f>
        <v>0</v>
      </c>
      <c r="N47" t="s">
        <v>14</v>
      </c>
      <c r="O47" t="s">
        <v>54</v>
      </c>
      <c r="P47" s="85">
        <f>'Policy Decisions'!K44</f>
        <v>5</v>
      </c>
      <c r="Q47" t="s">
        <v>25</v>
      </c>
    </row>
    <row r="48" spans="1:17" x14ac:dyDescent="0.3">
      <c r="A48" s="10" t="str">
        <f>IF(Inputs!$J$5&gt;1,"Pre-Pri Year 2","")</f>
        <v>Pre-Pri Year 2</v>
      </c>
      <c r="B48" s="16" t="str">
        <f>IF(Inputs!$J$5&gt;1,"Female","")</f>
        <v>Female</v>
      </c>
      <c r="C48" s="57">
        <f>Inputs!D71+Inputs!I71</f>
        <v>497</v>
      </c>
      <c r="D48" s="7">
        <f>IF($P$47&gt;0,$C$48/$P$47,"0")</f>
        <v>99.4</v>
      </c>
      <c r="E48" s="7">
        <f>IF($P$47&gt;1,$C$48/$P$47,"0")</f>
        <v>99.4</v>
      </c>
      <c r="F48" s="7">
        <f>IF($P$47&gt;2,$C$48/$P$47,"0")</f>
        <v>99.4</v>
      </c>
      <c r="G48" s="7">
        <f>IF($P$47&gt;3,$C$48/$P$47,"0")</f>
        <v>99.4</v>
      </c>
      <c r="H48" s="7">
        <f>IF($P$47&gt;4,$C$48/$P$47,"0")</f>
        <v>99.4</v>
      </c>
      <c r="I48" s="7" t="str">
        <f>IF($P$47&gt;5,$C$48/$P$47,"0")</f>
        <v>0</v>
      </c>
      <c r="J48" s="7" t="str">
        <f>IF($P$47&gt;6,$C$48/$P$47,"0")</f>
        <v>0</v>
      </c>
      <c r="K48" s="7" t="str">
        <f>IF($P$47&gt;7,$C$48/$P$47,"0")</f>
        <v>0</v>
      </c>
      <c r="L48" s="7" t="str">
        <f>IF($P$47&gt;8,$C$48/$P$47,"0")</f>
        <v>0</v>
      </c>
      <c r="N48" t="s">
        <v>13</v>
      </c>
      <c r="O48" t="s">
        <v>54</v>
      </c>
      <c r="P48" s="85">
        <f>'Policy Decisions'!K45</f>
        <v>5</v>
      </c>
      <c r="Q48" t="s">
        <v>26</v>
      </c>
    </row>
    <row r="49" spans="1:17" x14ac:dyDescent="0.3">
      <c r="A49" s="10" t="str">
        <f>IF(Inputs!$J$5=3,"Pre-Pri Year 3","")</f>
        <v>Pre-Pri Year 3</v>
      </c>
      <c r="B49" s="16" t="str">
        <f>IF(Inputs!$J$5=3,"Female","")</f>
        <v>Female</v>
      </c>
      <c r="C49" s="57">
        <f>Inputs!D72+Inputs!I72</f>
        <v>261</v>
      </c>
      <c r="D49" s="7">
        <f>IF($P$49&gt;0,$C$49/$P$49,"0")</f>
        <v>52.2</v>
      </c>
      <c r="E49" s="7">
        <f>IF($P$49&gt;1,$C$49/$P$49,"0")</f>
        <v>52.2</v>
      </c>
      <c r="F49" s="7">
        <f>IF($P$49&gt;2,$C$49/$P$49,"0")</f>
        <v>52.2</v>
      </c>
      <c r="G49" s="7">
        <f>IF($P$49&gt;3,$C$49/$P$49,"0")</f>
        <v>52.2</v>
      </c>
      <c r="H49" s="7">
        <f>IF($P$49&gt;4,$C$49/$P$49,"0")</f>
        <v>52.2</v>
      </c>
      <c r="I49" s="7" t="str">
        <f>IF($P$49&gt;5,$C$49/$P$49,"0")</f>
        <v>0</v>
      </c>
      <c r="J49" s="7" t="str">
        <f>IF($P$49&gt;6,$C$49/$P$49,"0")</f>
        <v>0</v>
      </c>
      <c r="K49" s="7" t="str">
        <f>IF($P$49&gt;7,$C$49/$P$49,"0")</f>
        <v>0</v>
      </c>
      <c r="L49" s="7" t="str">
        <f>IF($P$49&gt;8,$C$49/$P$49,"0")</f>
        <v>0</v>
      </c>
      <c r="N49" t="s">
        <v>14</v>
      </c>
      <c r="O49" t="s">
        <v>54</v>
      </c>
      <c r="P49" s="85">
        <f>'Policy Decisions'!K46</f>
        <v>5</v>
      </c>
      <c r="Q49" t="s">
        <v>26</v>
      </c>
    </row>
    <row r="50" spans="1:17" x14ac:dyDescent="0.3">
      <c r="A50" s="10" t="str">
        <f>IF(Inputs!$J$5&gt;1,"Pre-Pri Year 1","Pre-Pri Year")</f>
        <v>Pre-Pri Year 1</v>
      </c>
      <c r="B50" s="16" t="str">
        <f>IF(Inputs!$J$5&gt;1,"Total","Total")</f>
        <v>Total</v>
      </c>
      <c r="C50" s="57">
        <f>C44+C47</f>
        <v>921</v>
      </c>
      <c r="D50" s="19">
        <f>D44+D47</f>
        <v>184.2</v>
      </c>
      <c r="E50" s="19">
        <f t="shared" ref="E50:L50" si="17">E44+E47</f>
        <v>184.2</v>
      </c>
      <c r="F50" s="19">
        <f t="shared" si="17"/>
        <v>184.2</v>
      </c>
      <c r="G50" s="19">
        <f t="shared" si="17"/>
        <v>184.2</v>
      </c>
      <c r="H50" s="19">
        <f t="shared" si="17"/>
        <v>184.2</v>
      </c>
      <c r="I50" s="19">
        <f t="shared" si="17"/>
        <v>0</v>
      </c>
      <c r="J50" s="19">
        <f t="shared" si="17"/>
        <v>0</v>
      </c>
      <c r="K50" s="19">
        <f t="shared" si="17"/>
        <v>0</v>
      </c>
      <c r="L50" s="19">
        <f t="shared" si="17"/>
        <v>0</v>
      </c>
    </row>
    <row r="51" spans="1:17" x14ac:dyDescent="0.3">
      <c r="A51" s="10" t="str">
        <f>IF(Inputs!$J$5&gt;1,"Pre-Pri Year 2","")</f>
        <v>Pre-Pri Year 2</v>
      </c>
      <c r="B51" s="16" t="str">
        <f>IF(Inputs!$J$5&gt;1,"Total","Total")</f>
        <v>Total</v>
      </c>
      <c r="C51" s="57">
        <f t="shared" ref="C51:L52" si="18">C45+C48</f>
        <v>857</v>
      </c>
      <c r="D51" s="19">
        <f t="shared" si="18"/>
        <v>171.4</v>
      </c>
      <c r="E51" s="19">
        <f t="shared" si="18"/>
        <v>171.4</v>
      </c>
      <c r="F51" s="19">
        <f t="shared" si="18"/>
        <v>171.4</v>
      </c>
      <c r="G51" s="19">
        <f t="shared" si="18"/>
        <v>171.4</v>
      </c>
      <c r="H51" s="19">
        <f t="shared" si="18"/>
        <v>171.4</v>
      </c>
      <c r="I51" s="19">
        <f t="shared" si="18"/>
        <v>0</v>
      </c>
      <c r="J51" s="19">
        <f t="shared" si="18"/>
        <v>0</v>
      </c>
      <c r="K51" s="19">
        <f t="shared" si="18"/>
        <v>0</v>
      </c>
      <c r="L51" s="19">
        <f t="shared" si="18"/>
        <v>0</v>
      </c>
    </row>
    <row r="52" spans="1:17" x14ac:dyDescent="0.3">
      <c r="A52" s="10" t="str">
        <f>IF(Inputs!$J$5=3,"Pre-Pri Year 3","")</f>
        <v>Pre-Pri Year 3</v>
      </c>
      <c r="B52" s="16" t="str">
        <f>IF(Inputs!$J$5&gt;1,"Total","Total")</f>
        <v>Total</v>
      </c>
      <c r="C52" s="57">
        <f t="shared" si="18"/>
        <v>463</v>
      </c>
      <c r="D52" s="19">
        <f t="shared" si="18"/>
        <v>92.6</v>
      </c>
      <c r="E52" s="19">
        <f t="shared" si="18"/>
        <v>92.6</v>
      </c>
      <c r="F52" s="19">
        <f t="shared" si="18"/>
        <v>92.6</v>
      </c>
      <c r="G52" s="19">
        <f t="shared" si="18"/>
        <v>92.6</v>
      </c>
      <c r="H52" s="19">
        <f t="shared" si="18"/>
        <v>92.6</v>
      </c>
      <c r="I52" s="19">
        <f t="shared" si="18"/>
        <v>0</v>
      </c>
      <c r="J52" s="19">
        <f t="shared" si="18"/>
        <v>0</v>
      </c>
      <c r="K52" s="19">
        <f t="shared" si="18"/>
        <v>0</v>
      </c>
      <c r="L52" s="19">
        <f t="shared" si="18"/>
        <v>0</v>
      </c>
    </row>
    <row r="53" spans="1:17" x14ac:dyDescent="0.3">
      <c r="A53" s="10" t="s">
        <v>73</v>
      </c>
      <c r="B53" s="16" t="s">
        <v>13</v>
      </c>
      <c r="C53" s="57">
        <f>C44+C45+C46</f>
        <v>971</v>
      </c>
      <c r="D53" s="29">
        <f>D44+D45+D46</f>
        <v>194.20000000000002</v>
      </c>
      <c r="E53" s="29">
        <f t="shared" ref="E53:L53" si="19">E44+E45+E46</f>
        <v>194.20000000000002</v>
      </c>
      <c r="F53" s="29">
        <f t="shared" si="19"/>
        <v>194.20000000000002</v>
      </c>
      <c r="G53" s="29">
        <f t="shared" si="19"/>
        <v>194.20000000000002</v>
      </c>
      <c r="H53" s="29">
        <f t="shared" si="19"/>
        <v>194.20000000000002</v>
      </c>
      <c r="I53" s="29">
        <f t="shared" si="19"/>
        <v>0</v>
      </c>
      <c r="J53" s="29">
        <f t="shared" si="19"/>
        <v>0</v>
      </c>
      <c r="K53" s="29">
        <f t="shared" si="19"/>
        <v>0</v>
      </c>
      <c r="L53" s="29">
        <f t="shared" si="19"/>
        <v>0</v>
      </c>
    </row>
    <row r="54" spans="1:17" x14ac:dyDescent="0.3">
      <c r="A54" s="10" t="s">
        <v>73</v>
      </c>
      <c r="B54" s="16" t="s">
        <v>14</v>
      </c>
      <c r="C54" s="57">
        <f>C47+C48+C49</f>
        <v>1270</v>
      </c>
      <c r="D54" s="29">
        <f>D47+D48+D49</f>
        <v>254</v>
      </c>
      <c r="E54" s="29">
        <f t="shared" ref="E54:L54" si="20">E47+E48+E49</f>
        <v>254</v>
      </c>
      <c r="F54" s="29">
        <f t="shared" si="20"/>
        <v>254</v>
      </c>
      <c r="G54" s="29">
        <f t="shared" si="20"/>
        <v>254</v>
      </c>
      <c r="H54" s="29">
        <f t="shared" si="20"/>
        <v>254</v>
      </c>
      <c r="I54" s="29">
        <f t="shared" si="20"/>
        <v>0</v>
      </c>
      <c r="J54" s="29">
        <f t="shared" si="20"/>
        <v>0</v>
      </c>
      <c r="K54" s="29">
        <f t="shared" si="20"/>
        <v>0</v>
      </c>
      <c r="L54" s="29">
        <f t="shared" si="20"/>
        <v>0</v>
      </c>
    </row>
    <row r="55" spans="1:17" x14ac:dyDescent="0.3">
      <c r="A55" s="10" t="s">
        <v>73</v>
      </c>
      <c r="B55" s="16" t="s">
        <v>18</v>
      </c>
      <c r="C55" s="57">
        <f>C50+C51+C52</f>
        <v>2241</v>
      </c>
      <c r="D55" s="29">
        <f>D50+D51+D52</f>
        <v>448.20000000000005</v>
      </c>
      <c r="E55" s="29">
        <f t="shared" ref="E55:L55" si="21">E50+E51+E52</f>
        <v>448.20000000000005</v>
      </c>
      <c r="F55" s="29">
        <f t="shared" si="21"/>
        <v>448.20000000000005</v>
      </c>
      <c r="G55" s="29">
        <f t="shared" si="21"/>
        <v>448.20000000000005</v>
      </c>
      <c r="H55" s="29">
        <f t="shared" si="21"/>
        <v>448.20000000000005</v>
      </c>
      <c r="I55" s="29">
        <f t="shared" si="21"/>
        <v>0</v>
      </c>
      <c r="J55" s="29">
        <f t="shared" si="21"/>
        <v>0</v>
      </c>
      <c r="K55" s="29">
        <f t="shared" si="21"/>
        <v>0</v>
      </c>
      <c r="L55" s="29">
        <f t="shared" si="21"/>
        <v>0</v>
      </c>
    </row>
    <row r="57" spans="1:17" x14ac:dyDescent="0.3">
      <c r="A57" s="3" t="str">
        <f>"Total "&amp;Semantics!B8&amp;"s Required - Public"</f>
        <v>Total Classrooms Required - Public</v>
      </c>
      <c r="B57" s="3"/>
    </row>
    <row r="59" spans="1:17" x14ac:dyDescent="0.3">
      <c r="A59" s="10" t="s">
        <v>124</v>
      </c>
      <c r="B59" s="10" t="s">
        <v>74</v>
      </c>
      <c r="C59" s="10">
        <f>Inputs!$F$5</f>
        <v>2021</v>
      </c>
      <c r="D59" s="10">
        <f>C59+1</f>
        <v>2022</v>
      </c>
      <c r="E59" s="10">
        <f t="shared" ref="E59:L59" si="22">D59+1</f>
        <v>2023</v>
      </c>
      <c r="F59" s="10">
        <f t="shared" si="22"/>
        <v>2024</v>
      </c>
      <c r="G59" s="10">
        <f t="shared" si="22"/>
        <v>2025</v>
      </c>
      <c r="H59" s="10">
        <f t="shared" si="22"/>
        <v>2026</v>
      </c>
      <c r="I59" s="10">
        <f t="shared" si="22"/>
        <v>2027</v>
      </c>
      <c r="J59" s="10">
        <f t="shared" si="22"/>
        <v>2028</v>
      </c>
      <c r="K59" s="10">
        <f t="shared" si="22"/>
        <v>2029</v>
      </c>
      <c r="L59" s="10">
        <f t="shared" si="22"/>
        <v>2030</v>
      </c>
    </row>
    <row r="60" spans="1:17" x14ac:dyDescent="0.3">
      <c r="A60" s="10" t="str">
        <f>IF(Inputs!$J$5&gt;1,"Pre-Pri Year 1","Pre-Pri Year")</f>
        <v>Pre-Pri Year 1</v>
      </c>
      <c r="B60" s="16" t="str">
        <f>IF(Inputs!$J$5&gt;1,"Male","Male")</f>
        <v>Male</v>
      </c>
      <c r="C60" s="57" t="s">
        <v>34</v>
      </c>
      <c r="D60" s="7">
        <f>D25+D44</f>
        <v>278.65000000000026</v>
      </c>
      <c r="E60" s="7">
        <f t="shared" ref="E60:L60" si="23">E25+E44</f>
        <v>190.06750000000005</v>
      </c>
      <c r="F60" s="7">
        <f t="shared" si="23"/>
        <v>195.48087500000014</v>
      </c>
      <c r="G60" s="7">
        <f t="shared" si="23"/>
        <v>201.16491875000017</v>
      </c>
      <c r="H60" s="7">
        <f t="shared" si="23"/>
        <v>207.13316468750031</v>
      </c>
      <c r="I60" s="7">
        <f t="shared" si="23"/>
        <v>131.59982292187536</v>
      </c>
      <c r="J60" s="7">
        <f t="shared" si="23"/>
        <v>138.17981406796898</v>
      </c>
      <c r="K60" s="7">
        <f t="shared" si="23"/>
        <v>145.08880477136748</v>
      </c>
      <c r="L60" s="7">
        <f t="shared" si="23"/>
        <v>152.34324500993583</v>
      </c>
    </row>
    <row r="61" spans="1:17" x14ac:dyDescent="0.3">
      <c r="A61" s="10" t="str">
        <f>IF(Inputs!$J$5&gt;1,"Pre-Pri Year 2","")</f>
        <v>Pre-Pri Year 2</v>
      </c>
      <c r="B61" s="16" t="str">
        <f>IF(Inputs!$J$5&gt;1,"Male","")</f>
        <v>Male</v>
      </c>
      <c r="C61" s="57" t="s">
        <v>34</v>
      </c>
      <c r="D61" s="7">
        <f t="shared" ref="D61:L61" si="24">D26+D45</f>
        <v>72</v>
      </c>
      <c r="E61" s="7">
        <f t="shared" si="24"/>
        <v>214.38044000000033</v>
      </c>
      <c r="F61" s="7">
        <f t="shared" si="24"/>
        <v>203.54995080000032</v>
      </c>
      <c r="G61" s="7">
        <f t="shared" si="24"/>
        <v>209.36351764800008</v>
      </c>
      <c r="H61" s="7">
        <f t="shared" si="24"/>
        <v>216.91343309939984</v>
      </c>
      <c r="I61" s="7">
        <f t="shared" si="24"/>
        <v>152.97227221449671</v>
      </c>
      <c r="J61" s="7">
        <f t="shared" si="24"/>
        <v>161.47042038314879</v>
      </c>
      <c r="K61" s="7">
        <f t="shared" si="24"/>
        <v>170.42492196520033</v>
      </c>
      <c r="L61" s="7">
        <f t="shared" si="24"/>
        <v>118.92212364956892</v>
      </c>
    </row>
    <row r="62" spans="1:17" x14ac:dyDescent="0.3">
      <c r="A62" s="10" t="str">
        <f>IF(Inputs!$J$5=3,"Pre-Pri Year 3","")</f>
        <v>Pre-Pri Year 3</v>
      </c>
      <c r="B62" s="16" t="str">
        <f>IF(Inputs!$J$5=3,"Male","")</f>
        <v>Male</v>
      </c>
      <c r="C62" s="57" t="s">
        <v>34</v>
      </c>
      <c r="D62" s="7">
        <f t="shared" ref="D62:L62" si="25">D27+D46</f>
        <v>40.4</v>
      </c>
      <c r="E62" s="7">
        <f t="shared" si="25"/>
        <v>40.4</v>
      </c>
      <c r="F62" s="7">
        <f t="shared" si="25"/>
        <v>159.25585180000027</v>
      </c>
      <c r="G62" s="7">
        <f t="shared" si="25"/>
        <v>191.30069122400045</v>
      </c>
      <c r="H62" s="7">
        <f t="shared" si="25"/>
        <v>200.72794157680013</v>
      </c>
      <c r="I62" s="7">
        <f t="shared" si="25"/>
        <v>170.39193060766749</v>
      </c>
      <c r="J62" s="7">
        <f t="shared" si="25"/>
        <v>181.14138810551376</v>
      </c>
      <c r="K62" s="7">
        <f t="shared" si="25"/>
        <v>136.77869083106393</v>
      </c>
      <c r="L62" s="7">
        <f t="shared" si="25"/>
        <v>170.42492196520033</v>
      </c>
    </row>
    <row r="63" spans="1:17" x14ac:dyDescent="0.3">
      <c r="A63" s="10" t="str">
        <f>IF(Inputs!$J$5&gt;1,"Pre-Pri Year 1","Pre-Pri Year")</f>
        <v>Pre-Pri Year 1</v>
      </c>
      <c r="B63" s="16" t="str">
        <f>IF(Inputs!$J$5&gt;1,"Female","Female")</f>
        <v>Female</v>
      </c>
      <c r="C63" s="57" t="s">
        <v>34</v>
      </c>
      <c r="D63" s="7">
        <f t="shared" ref="D63:L63" si="26">D28+D47</f>
        <v>185.50400000000008</v>
      </c>
      <c r="E63" s="7">
        <f t="shared" si="26"/>
        <v>190.49024000000014</v>
      </c>
      <c r="F63" s="7">
        <f t="shared" si="26"/>
        <v>195.77565440000012</v>
      </c>
      <c r="G63" s="7">
        <f t="shared" si="26"/>
        <v>201.37819366399998</v>
      </c>
      <c r="H63" s="7">
        <f t="shared" si="26"/>
        <v>207.31688528384015</v>
      </c>
      <c r="I63" s="7">
        <f t="shared" si="26"/>
        <v>111.21189840087051</v>
      </c>
      <c r="J63" s="7">
        <f t="shared" si="26"/>
        <v>117.88461230492273</v>
      </c>
      <c r="K63" s="7">
        <f t="shared" si="26"/>
        <v>124.95768904321812</v>
      </c>
      <c r="L63" s="7">
        <f t="shared" si="26"/>
        <v>132.45515038581118</v>
      </c>
    </row>
    <row r="64" spans="1:17" x14ac:dyDescent="0.3">
      <c r="A64" s="10" t="str">
        <f>IF(Inputs!$J$5&gt;1,"Pre-Pri Year 2","")</f>
        <v>Pre-Pri Year 2</v>
      </c>
      <c r="B64" s="16" t="str">
        <f>IF(Inputs!$J$5&gt;1,"Female","")</f>
        <v>Female</v>
      </c>
      <c r="C64" s="57" t="s">
        <v>34</v>
      </c>
      <c r="D64" s="7">
        <f t="shared" ref="D64:L64" si="27">D29+D48</f>
        <v>99.4</v>
      </c>
      <c r="E64" s="7">
        <f t="shared" si="27"/>
        <v>146.2874000000001</v>
      </c>
      <c r="F64" s="7">
        <f t="shared" si="27"/>
        <v>193.22808773333333</v>
      </c>
      <c r="G64" s="7">
        <f t="shared" si="27"/>
        <v>200.9345208826669</v>
      </c>
      <c r="H64" s="7">
        <f t="shared" si="27"/>
        <v>207.83527064160006</v>
      </c>
      <c r="I64" s="7">
        <f t="shared" si="27"/>
        <v>131.49582955574613</v>
      </c>
      <c r="J64" s="7">
        <f t="shared" si="27"/>
        <v>141.60981729710838</v>
      </c>
      <c r="K64" s="7">
        <f t="shared" si="27"/>
        <v>152.46409858103337</v>
      </c>
      <c r="L64" s="7">
        <f t="shared" si="27"/>
        <v>164.11109827675972</v>
      </c>
    </row>
    <row r="65" spans="1:17" x14ac:dyDescent="0.3">
      <c r="A65" s="10" t="str">
        <f>IF(Inputs!$J$5=3,"Pre-Pri Year 3","")</f>
        <v>Pre-Pri Year 3</v>
      </c>
      <c r="B65" s="16" t="str">
        <f>IF(Inputs!$J$5=3,"Female","")</f>
        <v>Female</v>
      </c>
      <c r="C65" s="57" t="s">
        <v>34</v>
      </c>
      <c r="D65" s="7">
        <f t="shared" ref="D65:L65" si="28">D30+D49</f>
        <v>52.2</v>
      </c>
      <c r="E65" s="7">
        <f t="shared" si="28"/>
        <v>52.2</v>
      </c>
      <c r="F65" s="7">
        <f t="shared" si="28"/>
        <v>73.520024399999969</v>
      </c>
      <c r="G65" s="7">
        <f t="shared" si="28"/>
        <v>151.16933664800018</v>
      </c>
      <c r="H65" s="7">
        <f t="shared" si="28"/>
        <v>162.3624712892003</v>
      </c>
      <c r="I65" s="7">
        <f t="shared" si="28"/>
        <v>118.73117016494386</v>
      </c>
      <c r="J65" s="7">
        <f t="shared" si="28"/>
        <v>157.71106195866815</v>
      </c>
      <c r="K65" s="7">
        <f t="shared" si="28"/>
        <v>172.88260312743321</v>
      </c>
      <c r="L65" s="7">
        <f t="shared" si="28"/>
        <v>189.40127710324256</v>
      </c>
    </row>
    <row r="66" spans="1:17" x14ac:dyDescent="0.3">
      <c r="A66" s="10" t="str">
        <f>IF(Inputs!$J$5&gt;1,"Pre-Pri Year 1","Pre-Pri Year")</f>
        <v>Pre-Pri Year 1</v>
      </c>
      <c r="B66" s="16" t="str">
        <f>IF(Inputs!$J$5&gt;1,"Total","Total")</f>
        <v>Total</v>
      </c>
      <c r="C66" s="57" t="s">
        <v>34</v>
      </c>
      <c r="D66" s="7">
        <f t="shared" ref="D66:L66" si="29">D31+D50</f>
        <v>464.15400000000034</v>
      </c>
      <c r="E66" s="7">
        <f t="shared" si="29"/>
        <v>380.55774000000019</v>
      </c>
      <c r="F66" s="7">
        <f t="shared" si="29"/>
        <v>391.2565294000002</v>
      </c>
      <c r="G66" s="7">
        <f t="shared" si="29"/>
        <v>402.54311241400012</v>
      </c>
      <c r="H66" s="7">
        <f t="shared" si="29"/>
        <v>414.45004997134043</v>
      </c>
      <c r="I66" s="7">
        <f t="shared" si="29"/>
        <v>242.81172132274588</v>
      </c>
      <c r="J66" s="7">
        <f t="shared" si="29"/>
        <v>256.06442637289172</v>
      </c>
      <c r="K66" s="7">
        <f t="shared" si="29"/>
        <v>270.04649381458557</v>
      </c>
      <c r="L66" s="7">
        <f t="shared" si="29"/>
        <v>284.79839539574698</v>
      </c>
    </row>
    <row r="67" spans="1:17" x14ac:dyDescent="0.3">
      <c r="A67" s="10" t="str">
        <f>IF(Inputs!$J$5&gt;1,"Pre-Pri Year 2","")</f>
        <v>Pre-Pri Year 2</v>
      </c>
      <c r="B67" s="16" t="str">
        <f>IF(Inputs!$J$5&gt;1,"Total","Total")</f>
        <v>Total</v>
      </c>
      <c r="C67" s="57" t="s">
        <v>34</v>
      </c>
      <c r="D67" s="7">
        <f t="shared" ref="D67:L67" si="30">D32+D51</f>
        <v>171.4</v>
      </c>
      <c r="E67" s="7">
        <f t="shared" si="30"/>
        <v>360.66784000000041</v>
      </c>
      <c r="F67" s="7">
        <f t="shared" si="30"/>
        <v>396.77803853333364</v>
      </c>
      <c r="G67" s="7">
        <f t="shared" si="30"/>
        <v>410.29803853066699</v>
      </c>
      <c r="H67" s="7">
        <f t="shared" si="30"/>
        <v>424.74870374099987</v>
      </c>
      <c r="I67" s="7">
        <f t="shared" si="30"/>
        <v>284.46810177024281</v>
      </c>
      <c r="J67" s="7">
        <f t="shared" si="30"/>
        <v>303.08023768025714</v>
      </c>
      <c r="K67" s="7">
        <f t="shared" si="30"/>
        <v>322.88902054623372</v>
      </c>
      <c r="L67" s="7">
        <f t="shared" si="30"/>
        <v>283.03322192632862</v>
      </c>
    </row>
    <row r="68" spans="1:17" x14ac:dyDescent="0.3">
      <c r="A68" s="10" t="str">
        <f>IF(Inputs!$J$5=3,"Pre-Pri Year 3","")</f>
        <v>Pre-Pri Year 3</v>
      </c>
      <c r="B68" s="16" t="str">
        <f>IF(Inputs!$J$5&gt;1,"Total","Total")</f>
        <v>Total</v>
      </c>
      <c r="C68" s="57" t="s">
        <v>34</v>
      </c>
      <c r="D68" s="7">
        <f t="shared" ref="D68:L68" si="31">D33+D52</f>
        <v>92.6</v>
      </c>
      <c r="E68" s="7">
        <f t="shared" si="31"/>
        <v>92.6</v>
      </c>
      <c r="F68" s="7">
        <f t="shared" si="31"/>
        <v>232.77587620000023</v>
      </c>
      <c r="G68" s="7">
        <f t="shared" si="31"/>
        <v>342.47002787200063</v>
      </c>
      <c r="H68" s="7">
        <f t="shared" si="31"/>
        <v>363.09041286600041</v>
      </c>
      <c r="I68" s="7">
        <f t="shared" si="31"/>
        <v>289.12310077261134</v>
      </c>
      <c r="J68" s="7">
        <f t="shared" si="31"/>
        <v>338.85245006418188</v>
      </c>
      <c r="K68" s="7">
        <f t="shared" si="31"/>
        <v>309.66129395849714</v>
      </c>
      <c r="L68" s="7">
        <f t="shared" si="31"/>
        <v>359.82619906844286</v>
      </c>
    </row>
    <row r="69" spans="1:17" x14ac:dyDescent="0.3">
      <c r="A69" s="10" t="s">
        <v>73</v>
      </c>
      <c r="B69" s="16" t="s">
        <v>13</v>
      </c>
      <c r="C69" s="57" t="s">
        <v>34</v>
      </c>
      <c r="D69" s="29">
        <f t="shared" ref="D69:L69" si="32">D34+D53</f>
        <v>391.0500000000003</v>
      </c>
      <c r="E69" s="29">
        <f t="shared" si="32"/>
        <v>444.84794000000045</v>
      </c>
      <c r="F69" s="29">
        <f t="shared" si="32"/>
        <v>558.28667760000076</v>
      </c>
      <c r="G69" s="29">
        <f t="shared" si="32"/>
        <v>601.82912762200078</v>
      </c>
      <c r="H69" s="29">
        <f t="shared" si="32"/>
        <v>624.77453936370023</v>
      </c>
      <c r="I69" s="29">
        <f t="shared" si="32"/>
        <v>454.96402574403953</v>
      </c>
      <c r="J69" s="29">
        <f t="shared" si="32"/>
        <v>480.79162255663152</v>
      </c>
      <c r="K69" s="29">
        <f t="shared" si="32"/>
        <v>452.29241756763179</v>
      </c>
      <c r="L69" s="29">
        <f t="shared" si="32"/>
        <v>441.69029062470509</v>
      </c>
    </row>
    <row r="70" spans="1:17" x14ac:dyDescent="0.3">
      <c r="A70" s="10" t="s">
        <v>73</v>
      </c>
      <c r="B70" s="16" t="s">
        <v>14</v>
      </c>
      <c r="C70" s="57" t="s">
        <v>34</v>
      </c>
      <c r="D70" s="29">
        <f t="shared" ref="D70:L70" si="33">D35+D54</f>
        <v>337.1040000000001</v>
      </c>
      <c r="E70" s="29">
        <f t="shared" si="33"/>
        <v>388.97764000000024</v>
      </c>
      <c r="F70" s="29">
        <f t="shared" si="33"/>
        <v>462.5237665333334</v>
      </c>
      <c r="G70" s="29">
        <f t="shared" si="33"/>
        <v>553.48205119466706</v>
      </c>
      <c r="H70" s="29">
        <f t="shared" si="33"/>
        <v>577.51462721464054</v>
      </c>
      <c r="I70" s="29">
        <f t="shared" si="33"/>
        <v>361.4388981215605</v>
      </c>
      <c r="J70" s="29">
        <f t="shared" si="33"/>
        <v>417.20549156069927</v>
      </c>
      <c r="K70" s="29">
        <f t="shared" si="33"/>
        <v>450.30439075168465</v>
      </c>
      <c r="L70" s="29">
        <f t="shared" si="33"/>
        <v>485.96752576581343</v>
      </c>
    </row>
    <row r="71" spans="1:17" x14ac:dyDescent="0.3">
      <c r="A71" s="10" t="s">
        <v>73</v>
      </c>
      <c r="B71" s="16" t="s">
        <v>18</v>
      </c>
      <c r="C71" s="57" t="s">
        <v>34</v>
      </c>
      <c r="D71" s="29">
        <f t="shared" ref="D71:L71" si="34">D36+D55</f>
        <v>728.15400000000045</v>
      </c>
      <c r="E71" s="29">
        <f t="shared" si="34"/>
        <v>833.82558000000063</v>
      </c>
      <c r="F71" s="29">
        <f t="shared" si="34"/>
        <v>1020.8104441333342</v>
      </c>
      <c r="G71" s="29">
        <f t="shared" si="34"/>
        <v>1155.3111788166677</v>
      </c>
      <c r="H71" s="29">
        <f t="shared" si="34"/>
        <v>1202.2891665783409</v>
      </c>
      <c r="I71" s="29">
        <f t="shared" si="34"/>
        <v>816.40292386559997</v>
      </c>
      <c r="J71" s="29">
        <f t="shared" si="34"/>
        <v>897.99711411733074</v>
      </c>
      <c r="K71" s="29">
        <f t="shared" si="34"/>
        <v>902.59680831931644</v>
      </c>
      <c r="L71" s="29">
        <f t="shared" si="34"/>
        <v>927.65781639051841</v>
      </c>
    </row>
    <row r="73" spans="1:17" x14ac:dyDescent="0.3">
      <c r="A73" s="3" t="str">
        <f>"Additional "&amp;Semantics!B9&amp;"s - Public"</f>
        <v>Additional ECE Kits - Public</v>
      </c>
      <c r="B73" s="3"/>
    </row>
    <row r="74" spans="1:17" x14ac:dyDescent="0.3">
      <c r="C74" s="28" t="s">
        <v>76</v>
      </c>
    </row>
    <row r="75" spans="1:17" x14ac:dyDescent="0.3">
      <c r="A75" s="10" t="s">
        <v>124</v>
      </c>
      <c r="B75" s="10" t="s">
        <v>74</v>
      </c>
      <c r="C75" s="10">
        <f>Inputs!$F$5</f>
        <v>2021</v>
      </c>
      <c r="D75" s="10">
        <f>C75+1</f>
        <v>2022</v>
      </c>
      <c r="E75" s="10">
        <f t="shared" ref="E75:L75" si="35">D75+1</f>
        <v>2023</v>
      </c>
      <c r="F75" s="10">
        <f t="shared" si="35"/>
        <v>2024</v>
      </c>
      <c r="G75" s="10">
        <f t="shared" si="35"/>
        <v>2025</v>
      </c>
      <c r="H75" s="10">
        <f t="shared" si="35"/>
        <v>2026</v>
      </c>
      <c r="I75" s="10">
        <f t="shared" si="35"/>
        <v>2027</v>
      </c>
      <c r="J75" s="10">
        <f t="shared" si="35"/>
        <v>2028</v>
      </c>
      <c r="K75" s="10">
        <f t="shared" si="35"/>
        <v>2029</v>
      </c>
      <c r="L75" s="10">
        <f t="shared" si="35"/>
        <v>2030</v>
      </c>
      <c r="N75" s="13" t="s">
        <v>52</v>
      </c>
    </row>
    <row r="76" spans="1:17" x14ac:dyDescent="0.3">
      <c r="A76" s="10" t="str">
        <f>IF(Inputs!$J$5&gt;1,"Pre-Pri Year 1","Pre-Pri Year")</f>
        <v>Pre-Pri Year 1</v>
      </c>
      <c r="B76" s="16" t="str">
        <f>IF(Inputs!$J$5&gt;1,"Male","Male")</f>
        <v>Male</v>
      </c>
      <c r="C76" s="57">
        <f>Inputs!M67</f>
        <v>756</v>
      </c>
      <c r="D76" s="7">
        <f>D8/$P$76</f>
        <v>196.85000000000025</v>
      </c>
      <c r="E76" s="7">
        <f t="shared" ref="E76:L76" si="36">E8/$P$76</f>
        <v>108.26750000000006</v>
      </c>
      <c r="F76" s="7">
        <f t="shared" si="36"/>
        <v>113.68087500000014</v>
      </c>
      <c r="G76" s="7">
        <f t="shared" si="36"/>
        <v>119.36491875000017</v>
      </c>
      <c r="H76" s="7">
        <f t="shared" si="36"/>
        <v>125.3331646875003</v>
      </c>
      <c r="I76" s="7">
        <f t="shared" si="36"/>
        <v>131.59982292187536</v>
      </c>
      <c r="J76" s="7">
        <f t="shared" si="36"/>
        <v>138.17981406796898</v>
      </c>
      <c r="K76" s="7">
        <f t="shared" si="36"/>
        <v>145.08880477136748</v>
      </c>
      <c r="L76" s="7">
        <f t="shared" si="36"/>
        <v>152.34324500993583</v>
      </c>
      <c r="N76" t="s">
        <v>13</v>
      </c>
      <c r="O76" t="str">
        <f>"1 new "&amp;Semantics!B9&amp;" for"</f>
        <v>1 new ECE Kit for</v>
      </c>
      <c r="P76" s="86">
        <f>'Policy Decisions'!K50</f>
        <v>30</v>
      </c>
      <c r="Q76" t="s">
        <v>53</v>
      </c>
    </row>
    <row r="77" spans="1:17" x14ac:dyDescent="0.3">
      <c r="A77" s="10" t="str">
        <f>IF(Inputs!$J$5&gt;1,"Pre-Pri Year 2","")</f>
        <v>Pre-Pri Year 2</v>
      </c>
      <c r="B77" s="16" t="str">
        <f>IF(Inputs!$J$5&gt;1,"Male","")</f>
        <v>Male</v>
      </c>
      <c r="C77" s="57">
        <f>Inputs!M68</f>
        <v>456</v>
      </c>
      <c r="D77" s="7">
        <f t="shared" ref="D77:L77" si="37">D9/$P$76</f>
        <v>0</v>
      </c>
      <c r="E77" s="7">
        <f t="shared" si="37"/>
        <v>142.38044000000033</v>
      </c>
      <c r="F77" s="7">
        <f t="shared" si="37"/>
        <v>131.54995080000032</v>
      </c>
      <c r="G77" s="7">
        <f t="shared" si="37"/>
        <v>137.36351764800008</v>
      </c>
      <c r="H77" s="7">
        <f t="shared" si="37"/>
        <v>144.91343309939984</v>
      </c>
      <c r="I77" s="7">
        <f t="shared" si="37"/>
        <v>152.97227221449671</v>
      </c>
      <c r="J77" s="7">
        <f t="shared" si="37"/>
        <v>161.47042038314879</v>
      </c>
      <c r="K77" s="7">
        <f t="shared" si="37"/>
        <v>170.42492196520033</v>
      </c>
      <c r="L77" s="7">
        <f t="shared" si="37"/>
        <v>118.92212364956892</v>
      </c>
      <c r="N77" t="s">
        <v>14</v>
      </c>
      <c r="O77" t="str">
        <f>"1 new "&amp;Semantics!B9&amp;" for"</f>
        <v>1 new ECE Kit for</v>
      </c>
      <c r="P77" s="86">
        <f>'Policy Decisions'!K51</f>
        <v>30</v>
      </c>
      <c r="Q77" t="s">
        <v>53</v>
      </c>
    </row>
    <row r="78" spans="1:17" x14ac:dyDescent="0.3">
      <c r="A78" s="10" t="str">
        <f>IF(Inputs!$J$5=3,"Pre-Pri Year 3","")</f>
        <v>Pre-Pri Year 3</v>
      </c>
      <c r="B78" s="16" t="str">
        <f>IF(Inputs!$J$5=3,"Male","")</f>
        <v>Male</v>
      </c>
      <c r="C78" s="57">
        <f>Inputs!M69</f>
        <v>852</v>
      </c>
      <c r="D78" s="7">
        <f t="shared" ref="D78:L78" si="38">D10/$P$76</f>
        <v>0</v>
      </c>
      <c r="E78" s="7">
        <f t="shared" si="38"/>
        <v>0</v>
      </c>
      <c r="F78" s="7">
        <f t="shared" si="38"/>
        <v>118.85585180000028</v>
      </c>
      <c r="G78" s="7">
        <f t="shared" si="38"/>
        <v>150.90069122400044</v>
      </c>
      <c r="H78" s="7">
        <f t="shared" si="38"/>
        <v>160.32794157680013</v>
      </c>
      <c r="I78" s="7">
        <f t="shared" si="38"/>
        <v>170.39193060766749</v>
      </c>
      <c r="J78" s="7">
        <f t="shared" si="38"/>
        <v>181.14138810551376</v>
      </c>
      <c r="K78" s="7">
        <f t="shared" si="38"/>
        <v>136.77869083106393</v>
      </c>
      <c r="L78" s="7">
        <f t="shared" si="38"/>
        <v>170.42492196520033</v>
      </c>
    </row>
    <row r="79" spans="1:17" x14ac:dyDescent="0.3">
      <c r="A79" s="10" t="str">
        <f>IF(Inputs!$J$5&gt;1,"Pre-Pri Year 1","Pre-Pri Year")</f>
        <v>Pre-Pri Year 1</v>
      </c>
      <c r="B79" s="16" t="str">
        <f>IF(Inputs!$J$5&gt;1,"Female","Female")</f>
        <v>Female</v>
      </c>
      <c r="C79" s="57">
        <f>Inputs!M70</f>
        <v>645</v>
      </c>
      <c r="D79" s="7">
        <f>D13/$P$77</f>
        <v>83.104000000000084</v>
      </c>
      <c r="E79" s="7">
        <f t="shared" ref="E79:L79" si="39">E13/$P$77</f>
        <v>88.090240000000151</v>
      </c>
      <c r="F79" s="7">
        <f t="shared" si="39"/>
        <v>93.375654400000101</v>
      </c>
      <c r="G79" s="7">
        <f t="shared" si="39"/>
        <v>98.978193663999988</v>
      </c>
      <c r="H79" s="7">
        <f t="shared" si="39"/>
        <v>104.91688528384014</v>
      </c>
      <c r="I79" s="7">
        <f t="shared" si="39"/>
        <v>111.21189840087051</v>
      </c>
      <c r="J79" s="7">
        <f t="shared" si="39"/>
        <v>117.88461230492273</v>
      </c>
      <c r="K79" s="7">
        <f t="shared" si="39"/>
        <v>124.95768904321812</v>
      </c>
      <c r="L79" s="7">
        <f t="shared" si="39"/>
        <v>132.45515038581118</v>
      </c>
    </row>
    <row r="80" spans="1:17" x14ac:dyDescent="0.3">
      <c r="A80" s="10" t="str">
        <f>IF(Inputs!$J$5&gt;1,"Pre-Pri Year 2","")</f>
        <v>Pre-Pri Year 2</v>
      </c>
      <c r="B80" s="16" t="str">
        <f>IF(Inputs!$J$5&gt;1,"Female","")</f>
        <v>Female</v>
      </c>
      <c r="C80" s="57">
        <f>Inputs!M71</f>
        <v>398</v>
      </c>
      <c r="D80" s="7">
        <f t="shared" ref="D80:L80" si="40">D14/$P$77</f>
        <v>0</v>
      </c>
      <c r="E80" s="7">
        <f t="shared" si="40"/>
        <v>46.887400000000099</v>
      </c>
      <c r="F80" s="7">
        <f t="shared" si="40"/>
        <v>93.828087733333334</v>
      </c>
      <c r="G80" s="7">
        <f t="shared" si="40"/>
        <v>101.53452088266688</v>
      </c>
      <c r="H80" s="7">
        <f t="shared" si="40"/>
        <v>108.43527064160007</v>
      </c>
      <c r="I80" s="7">
        <f t="shared" si="40"/>
        <v>131.49582955574613</v>
      </c>
      <c r="J80" s="7">
        <f t="shared" si="40"/>
        <v>141.60981729710838</v>
      </c>
      <c r="K80" s="7">
        <f t="shared" si="40"/>
        <v>152.46409858103337</v>
      </c>
      <c r="L80" s="7">
        <f t="shared" si="40"/>
        <v>164.11109827675972</v>
      </c>
    </row>
    <row r="81" spans="1:17" x14ac:dyDescent="0.3">
      <c r="A81" s="10" t="str">
        <f>IF(Inputs!$J$5=3,"Pre-Pri Year 3","")</f>
        <v>Pre-Pri Year 3</v>
      </c>
      <c r="B81" s="16" t="str">
        <f>IF(Inputs!$J$5=3,"Female","")</f>
        <v>Female</v>
      </c>
      <c r="C81" s="57">
        <f>Inputs!M72</f>
        <v>726</v>
      </c>
      <c r="D81" s="7">
        <f t="shared" ref="D81:L81" si="41">D15/$P$77</f>
        <v>0</v>
      </c>
      <c r="E81" s="7">
        <f t="shared" si="41"/>
        <v>0</v>
      </c>
      <c r="F81" s="7">
        <f t="shared" si="41"/>
        <v>21.320024399999966</v>
      </c>
      <c r="G81" s="7">
        <f t="shared" si="41"/>
        <v>98.969336648000166</v>
      </c>
      <c r="H81" s="7">
        <f t="shared" si="41"/>
        <v>110.16247128920028</v>
      </c>
      <c r="I81" s="7">
        <f t="shared" si="41"/>
        <v>118.73117016494386</v>
      </c>
      <c r="J81" s="7">
        <f t="shared" si="41"/>
        <v>157.71106195866815</v>
      </c>
      <c r="K81" s="7">
        <f t="shared" si="41"/>
        <v>172.88260312743321</v>
      </c>
      <c r="L81" s="7">
        <f t="shared" si="41"/>
        <v>189.40127710324256</v>
      </c>
    </row>
    <row r="82" spans="1:17" x14ac:dyDescent="0.3">
      <c r="A82" s="10" t="str">
        <f>IF(Inputs!$J$5&gt;1,"Pre-Pri Year 1","Pre-Pri Year")</f>
        <v>Pre-Pri Year 1</v>
      </c>
      <c r="B82" s="16" t="str">
        <f>IF(Inputs!$J$5&gt;1,"Total","Total")</f>
        <v>Total</v>
      </c>
      <c r="C82" s="57">
        <f>C76+C79</f>
        <v>1401</v>
      </c>
      <c r="D82" s="19">
        <f>D76+D79</f>
        <v>279.95400000000035</v>
      </c>
      <c r="E82" s="19">
        <f t="shared" ref="E82:L82" si="42">E76+E79</f>
        <v>196.35774000000021</v>
      </c>
      <c r="F82" s="19">
        <f t="shared" si="42"/>
        <v>207.05652940000024</v>
      </c>
      <c r="G82" s="19">
        <f t="shared" si="42"/>
        <v>218.34311241400016</v>
      </c>
      <c r="H82" s="19">
        <f t="shared" si="42"/>
        <v>230.25004997134045</v>
      </c>
      <c r="I82" s="19">
        <f t="shared" si="42"/>
        <v>242.81172132274588</v>
      </c>
      <c r="J82" s="19">
        <f t="shared" si="42"/>
        <v>256.06442637289172</v>
      </c>
      <c r="K82" s="19">
        <f t="shared" si="42"/>
        <v>270.04649381458557</v>
      </c>
      <c r="L82" s="19">
        <f t="shared" si="42"/>
        <v>284.79839539574698</v>
      </c>
    </row>
    <row r="83" spans="1:17" x14ac:dyDescent="0.3">
      <c r="A83" s="10" t="str">
        <f>IF(Inputs!$J$5&gt;1,"Pre-Pri Year 2","")</f>
        <v>Pre-Pri Year 2</v>
      </c>
      <c r="B83" s="16" t="str">
        <f>IF(Inputs!$J$5&gt;1,"Total","Total")</f>
        <v>Total</v>
      </c>
      <c r="C83" s="57">
        <f t="shared" ref="C83:L83" si="43">C77+C80</f>
        <v>854</v>
      </c>
      <c r="D83" s="19">
        <f t="shared" si="43"/>
        <v>0</v>
      </c>
      <c r="E83" s="19">
        <f t="shared" si="43"/>
        <v>189.26784000000043</v>
      </c>
      <c r="F83" s="19">
        <f t="shared" si="43"/>
        <v>225.37803853333367</v>
      </c>
      <c r="G83" s="19">
        <f t="shared" si="43"/>
        <v>238.89803853066695</v>
      </c>
      <c r="H83" s="19">
        <f t="shared" si="43"/>
        <v>253.34870374099989</v>
      </c>
      <c r="I83" s="19">
        <f t="shared" si="43"/>
        <v>284.46810177024281</v>
      </c>
      <c r="J83" s="19">
        <f t="shared" si="43"/>
        <v>303.08023768025714</v>
      </c>
      <c r="K83" s="19">
        <f t="shared" si="43"/>
        <v>322.88902054623372</v>
      </c>
      <c r="L83" s="19">
        <f t="shared" si="43"/>
        <v>283.03322192632862</v>
      </c>
    </row>
    <row r="84" spans="1:17" x14ac:dyDescent="0.3">
      <c r="A84" s="10" t="str">
        <f>IF(Inputs!$J$5=3,"Pre-Pri Year 3","")</f>
        <v>Pre-Pri Year 3</v>
      </c>
      <c r="B84" s="16" t="str">
        <f>IF(Inputs!$J$5&gt;1,"Total","Total")</f>
        <v>Total</v>
      </c>
      <c r="C84" s="57">
        <f t="shared" ref="C84:L84" si="44">C78+C81</f>
        <v>1578</v>
      </c>
      <c r="D84" s="19">
        <f t="shared" si="44"/>
        <v>0</v>
      </c>
      <c r="E84" s="19">
        <f t="shared" si="44"/>
        <v>0</v>
      </c>
      <c r="F84" s="19">
        <f t="shared" si="44"/>
        <v>140.17587620000023</v>
      </c>
      <c r="G84" s="19">
        <f t="shared" si="44"/>
        <v>249.87002787200061</v>
      </c>
      <c r="H84" s="19">
        <f t="shared" si="44"/>
        <v>270.49041286600038</v>
      </c>
      <c r="I84" s="19">
        <f t="shared" si="44"/>
        <v>289.12310077261134</v>
      </c>
      <c r="J84" s="19">
        <f t="shared" si="44"/>
        <v>338.85245006418188</v>
      </c>
      <c r="K84" s="19">
        <f t="shared" si="44"/>
        <v>309.66129395849714</v>
      </c>
      <c r="L84" s="19">
        <f t="shared" si="44"/>
        <v>359.82619906844286</v>
      </c>
    </row>
    <row r="85" spans="1:17" x14ac:dyDescent="0.3">
      <c r="A85" s="10" t="s">
        <v>73</v>
      </c>
      <c r="B85" s="16" t="s">
        <v>13</v>
      </c>
      <c r="C85" s="57">
        <f>C76+C77+C78</f>
        <v>2064</v>
      </c>
      <c r="D85" s="29">
        <f>D76+D77+D78</f>
        <v>196.85000000000025</v>
      </c>
      <c r="E85" s="29">
        <f t="shared" ref="E85:L85" si="45">E76+E77+E78</f>
        <v>250.6479400000004</v>
      </c>
      <c r="F85" s="29">
        <f t="shared" si="45"/>
        <v>364.08667760000071</v>
      </c>
      <c r="G85" s="29">
        <f t="shared" si="45"/>
        <v>407.62912762200074</v>
      </c>
      <c r="H85" s="29">
        <f t="shared" si="45"/>
        <v>430.57453936370024</v>
      </c>
      <c r="I85" s="29">
        <f t="shared" si="45"/>
        <v>454.96402574403953</v>
      </c>
      <c r="J85" s="29">
        <f t="shared" si="45"/>
        <v>480.79162255663152</v>
      </c>
      <c r="K85" s="29">
        <f t="shared" si="45"/>
        <v>452.29241756763179</v>
      </c>
      <c r="L85" s="29">
        <f t="shared" si="45"/>
        <v>441.69029062470509</v>
      </c>
    </row>
    <row r="86" spans="1:17" x14ac:dyDescent="0.3">
      <c r="A86" s="10" t="s">
        <v>73</v>
      </c>
      <c r="B86" s="16" t="s">
        <v>14</v>
      </c>
      <c r="C86" s="57">
        <f>C79+C80+C81</f>
        <v>1769</v>
      </c>
      <c r="D86" s="29">
        <f>D79+D80+D81</f>
        <v>83.104000000000084</v>
      </c>
      <c r="E86" s="29">
        <f t="shared" ref="E86:L86" si="46">E79+E80+E81</f>
        <v>134.97764000000024</v>
      </c>
      <c r="F86" s="29">
        <f t="shared" si="46"/>
        <v>208.5237665333334</v>
      </c>
      <c r="G86" s="29">
        <f t="shared" si="46"/>
        <v>299.48205119466706</v>
      </c>
      <c r="H86" s="29">
        <f t="shared" si="46"/>
        <v>323.51462721464054</v>
      </c>
      <c r="I86" s="29">
        <f t="shared" si="46"/>
        <v>361.4388981215605</v>
      </c>
      <c r="J86" s="29">
        <f t="shared" si="46"/>
        <v>417.20549156069927</v>
      </c>
      <c r="K86" s="29">
        <f t="shared" si="46"/>
        <v>450.30439075168465</v>
      </c>
      <c r="L86" s="29">
        <f t="shared" si="46"/>
        <v>485.96752576581343</v>
      </c>
    </row>
    <row r="87" spans="1:17" x14ac:dyDescent="0.3">
      <c r="A87" s="10" t="s">
        <v>73</v>
      </c>
      <c r="B87" s="16" t="s">
        <v>18</v>
      </c>
      <c r="C87" s="57">
        <f>C82+C83+C84</f>
        <v>3833</v>
      </c>
      <c r="D87" s="29">
        <f>D82+D83+D84</f>
        <v>279.95400000000035</v>
      </c>
      <c r="E87" s="29">
        <f t="shared" ref="E87:L87" si="47">E82+E83+E84</f>
        <v>385.62558000000064</v>
      </c>
      <c r="F87" s="29">
        <f t="shared" si="47"/>
        <v>572.61044413333411</v>
      </c>
      <c r="G87" s="29">
        <f t="shared" si="47"/>
        <v>707.11117881666769</v>
      </c>
      <c r="H87" s="29">
        <f t="shared" si="47"/>
        <v>754.08916657834072</v>
      </c>
      <c r="I87" s="29">
        <f t="shared" si="47"/>
        <v>816.40292386559997</v>
      </c>
      <c r="J87" s="29">
        <f t="shared" si="47"/>
        <v>897.99711411733074</v>
      </c>
      <c r="K87" s="29">
        <f t="shared" si="47"/>
        <v>902.59680831931644</v>
      </c>
      <c r="L87" s="29">
        <f t="shared" si="47"/>
        <v>927.65781639051841</v>
      </c>
    </row>
    <row r="89" spans="1:17" x14ac:dyDescent="0.3">
      <c r="A89" s="3" t="str">
        <f>"Existing "&amp;Semantics!B9&amp;"s Gap - Public"</f>
        <v>Existing ECE Kits Gap - Public</v>
      </c>
      <c r="B89" s="3"/>
    </row>
    <row r="90" spans="1:17" x14ac:dyDescent="0.3">
      <c r="C90" s="28" t="s">
        <v>77</v>
      </c>
    </row>
    <row r="91" spans="1:17" x14ac:dyDescent="0.3">
      <c r="A91" s="10" t="s">
        <v>124</v>
      </c>
      <c r="B91" s="10" t="s">
        <v>74</v>
      </c>
      <c r="C91" s="10">
        <f>Inputs!$F$5</f>
        <v>2021</v>
      </c>
      <c r="D91" s="10">
        <f>C91+1</f>
        <v>2022</v>
      </c>
      <c r="E91" s="10">
        <f t="shared" ref="E91:L91" si="48">D91+1</f>
        <v>2023</v>
      </c>
      <c r="F91" s="10">
        <f t="shared" si="48"/>
        <v>2024</v>
      </c>
      <c r="G91" s="10">
        <f t="shared" si="48"/>
        <v>2025</v>
      </c>
      <c r="H91" s="10">
        <f t="shared" si="48"/>
        <v>2026</v>
      </c>
      <c r="I91" s="10">
        <f t="shared" si="48"/>
        <v>2027</v>
      </c>
      <c r="J91" s="10">
        <f t="shared" si="48"/>
        <v>2028</v>
      </c>
      <c r="K91" s="10">
        <f t="shared" si="48"/>
        <v>2029</v>
      </c>
      <c r="L91" s="10">
        <f t="shared" si="48"/>
        <v>2030</v>
      </c>
      <c r="N91" s="13" t="s">
        <v>52</v>
      </c>
    </row>
    <row r="92" spans="1:17" x14ac:dyDescent="0.3">
      <c r="A92" s="10" t="str">
        <f>IF(Inputs!$J$5&gt;1,"Pre-Pri Year 1","Pre-Pri Year")</f>
        <v>Pre-Pri Year 1</v>
      </c>
      <c r="B92" s="16" t="str">
        <f>IF(Inputs!$J$5&gt;1,"Male","Male")</f>
        <v>Male</v>
      </c>
      <c r="C92" s="57">
        <f>Inputs!N67</f>
        <v>255</v>
      </c>
      <c r="D92" s="7">
        <f>IF($P$92&gt;0,$C$92/$P$92,"0")</f>
        <v>51</v>
      </c>
      <c r="E92" s="7">
        <f>IF($P$92&gt;1,$C$92/$P$92,"0")</f>
        <v>51</v>
      </c>
      <c r="F92" s="7">
        <f>IF($P$92&gt;2,$C$92/$P$92,"0")</f>
        <v>51</v>
      </c>
      <c r="G92" s="7">
        <f>IF($P$92&gt;3,$C$92/$P$92,"0")</f>
        <v>51</v>
      </c>
      <c r="H92" s="7">
        <f>IF($P$92&gt;4,$C$92/$P$92,"0")</f>
        <v>51</v>
      </c>
      <c r="I92" s="7" t="str">
        <f>IF($P$92&gt;5,$C$92/$P$92,"0")</f>
        <v>0</v>
      </c>
      <c r="J92" s="7" t="str">
        <f>IF($P$92&gt;6,$C$92/$P$92,"0")</f>
        <v>0</v>
      </c>
      <c r="K92" s="7" t="str">
        <f>IF($P$92&gt;7,$C$92/$P$92,"0")</f>
        <v>0</v>
      </c>
      <c r="L92" s="7" t="str">
        <f>IF($P$92&gt;8,$C$92/$P$92,"0")</f>
        <v>0</v>
      </c>
      <c r="N92" t="s">
        <v>13</v>
      </c>
      <c r="O92" t="s">
        <v>54</v>
      </c>
      <c r="P92" s="85">
        <f>'Policy Decisions'!K55</f>
        <v>5</v>
      </c>
      <c r="Q92" t="s">
        <v>24</v>
      </c>
    </row>
    <row r="93" spans="1:17" x14ac:dyDescent="0.3">
      <c r="A93" s="10" t="str">
        <f>IF(Inputs!$J$5&gt;1,"Pre-Pri Year 2","")</f>
        <v>Pre-Pri Year 2</v>
      </c>
      <c r="B93" s="16" t="str">
        <f>IF(Inputs!$J$5&gt;1,"Male","")</f>
        <v>Male</v>
      </c>
      <c r="C93" s="57">
        <f>Inputs!N68</f>
        <v>215</v>
      </c>
      <c r="D93" s="7">
        <f>IF($P$94&gt;0,$C$45/$P$46,"0")</f>
        <v>72</v>
      </c>
      <c r="E93" s="7">
        <f>IF($P$94&gt;1,$C$93/$P$94,"0")</f>
        <v>43</v>
      </c>
      <c r="F93" s="7">
        <f>IF($P$94&gt;2,$C$93/$P$94,"0")</f>
        <v>43</v>
      </c>
      <c r="G93" s="7">
        <f>IF($P$94&gt;3,$C$93/$P$94,"0")</f>
        <v>43</v>
      </c>
      <c r="H93" s="7">
        <f>IF($P$94&gt;4,$C$93/$P$94,"0")</f>
        <v>43</v>
      </c>
      <c r="I93" s="7" t="str">
        <f>IF($P$94&gt;5,$C$93/$P$94,"0")</f>
        <v>0</v>
      </c>
      <c r="J93" s="7" t="str">
        <f>IF($P$94&gt;6,$C$93/$P$94,"0")</f>
        <v>0</v>
      </c>
      <c r="K93" s="7" t="str">
        <f>IF($P$94&gt;7,$C$93/$P$94,"0")</f>
        <v>0</v>
      </c>
      <c r="L93" s="7" t="str">
        <f>IF($P$94&gt;8,$C$93/$P$94,"0")</f>
        <v>0</v>
      </c>
      <c r="N93" t="s">
        <v>14</v>
      </c>
      <c r="O93" t="s">
        <v>54</v>
      </c>
      <c r="P93" s="85">
        <f>'Policy Decisions'!K56</f>
        <v>5</v>
      </c>
      <c r="Q93" t="s">
        <v>24</v>
      </c>
    </row>
    <row r="94" spans="1:17" x14ac:dyDescent="0.3">
      <c r="A94" s="10" t="str">
        <f>IF(Inputs!$J$5=3,"Pre-Pri Year 3","")</f>
        <v>Pre-Pri Year 3</v>
      </c>
      <c r="B94" s="16" t="str">
        <f>IF(Inputs!$J$5=3,"Male","")</f>
        <v>Male</v>
      </c>
      <c r="C94" s="57">
        <f>Inputs!N69</f>
        <v>145</v>
      </c>
      <c r="D94" s="7">
        <f>IF($P$96&gt;0,$C$46/$P$48,"0")</f>
        <v>40.4</v>
      </c>
      <c r="E94" s="7">
        <f>IF($P$96&gt;1,$C$94/$P$96,"0")</f>
        <v>29</v>
      </c>
      <c r="F94" s="7">
        <f>IF($P$96&gt;2,$C$94/$P$96,"0")</f>
        <v>29</v>
      </c>
      <c r="G94" s="7">
        <f>IF($P$96&gt;3,$C$94/$P$96,"0")</f>
        <v>29</v>
      </c>
      <c r="H94" s="7">
        <f>IF($P$97&gt;4,$C$94/$P$97,"0")</f>
        <v>29</v>
      </c>
      <c r="I94" s="7" t="str">
        <f>IF($P$96&gt;5,$C$94/$P$96,"0")</f>
        <v>0</v>
      </c>
      <c r="J94" s="7" t="str">
        <f>IF($P$96&gt;6,$C$94/$P$96,"0")</f>
        <v>0</v>
      </c>
      <c r="K94" s="7" t="str">
        <f>IF($P$96&gt;7,$C$94/$P$96,"0")</f>
        <v>0</v>
      </c>
      <c r="L94" s="7" t="str">
        <f>IF($P$96&gt;8,$C$94/$P$96,"0")</f>
        <v>0</v>
      </c>
      <c r="N94" t="s">
        <v>13</v>
      </c>
      <c r="O94" t="s">
        <v>54</v>
      </c>
      <c r="P94" s="85">
        <f>'Policy Decisions'!K57</f>
        <v>5</v>
      </c>
      <c r="Q94" t="s">
        <v>25</v>
      </c>
    </row>
    <row r="95" spans="1:17" x14ac:dyDescent="0.3">
      <c r="A95" s="10" t="str">
        <f>IF(Inputs!$J$5&gt;1,"Pre-Pri Year 1","Pre-Pri Year")</f>
        <v>Pre-Pri Year 1</v>
      </c>
      <c r="B95" s="16" t="str">
        <f>IF(Inputs!$J$5&gt;1,"Female","Female")</f>
        <v>Female</v>
      </c>
      <c r="C95" s="57">
        <f>Inputs!N70</f>
        <v>458</v>
      </c>
      <c r="D95" s="7">
        <f>IF($P$93&gt;0,$C$47/$P$45,"0")</f>
        <v>102.4</v>
      </c>
      <c r="E95" s="7">
        <f>IF($P$93&gt;1,$C$95/$P$93,"0")</f>
        <v>91.6</v>
      </c>
      <c r="F95" s="7">
        <f>IF($P$93&gt;2,$C$95/$P$93,"0")</f>
        <v>91.6</v>
      </c>
      <c r="G95" s="7">
        <f>IF($P$93&gt;3,$C$95/$P$93,"0")</f>
        <v>91.6</v>
      </c>
      <c r="H95" s="7">
        <f>IF($P$93&gt;4,$C$95/$P$93,"0")</f>
        <v>91.6</v>
      </c>
      <c r="I95" s="7" t="str">
        <f>IF($P$93&gt;5,$C$95/$P$93,"0")</f>
        <v>0</v>
      </c>
      <c r="J95" s="7" t="str">
        <f>IF($P$93&gt;6,$C$95/$P$93,"0")</f>
        <v>0</v>
      </c>
      <c r="K95" s="7" t="str">
        <f>IF($P$93&gt;7,$C$95/$P$93,"0")</f>
        <v>0</v>
      </c>
      <c r="L95" s="7" t="str">
        <f>IF($P$93&gt;8,$C$95/$P$93,"0")</f>
        <v>0</v>
      </c>
      <c r="N95" t="s">
        <v>14</v>
      </c>
      <c r="O95" t="s">
        <v>54</v>
      </c>
      <c r="P95" s="85">
        <f>'Policy Decisions'!K58</f>
        <v>5</v>
      </c>
      <c r="Q95" t="s">
        <v>25</v>
      </c>
    </row>
    <row r="96" spans="1:17" x14ac:dyDescent="0.3">
      <c r="A96" s="10" t="str">
        <f>IF(Inputs!$J$5&gt;1,"Pre-Pri Year 2","")</f>
        <v>Pre-Pri Year 2</v>
      </c>
      <c r="B96" s="16" t="str">
        <f>IF(Inputs!$J$5&gt;1,"Female","")</f>
        <v>Female</v>
      </c>
      <c r="C96" s="57">
        <f>Inputs!N71</f>
        <v>412</v>
      </c>
      <c r="D96" s="7">
        <f>IF($P$95&gt;0,$C$48/$P$47,"0")</f>
        <v>99.4</v>
      </c>
      <c r="E96" s="7">
        <f>IF($P$95&gt;1,$C$96/$P$95,"0")</f>
        <v>82.4</v>
      </c>
      <c r="F96" s="7">
        <f>IF($P$95&gt;2,$C$96/$P$95,"0")</f>
        <v>82.4</v>
      </c>
      <c r="G96" s="7">
        <f>IF($P$95&gt;3,$C$96/$P$95,"0")</f>
        <v>82.4</v>
      </c>
      <c r="H96" s="7">
        <f>IF($P$95&gt;4,$C$96/$P$95,"0")</f>
        <v>82.4</v>
      </c>
      <c r="I96" s="7" t="str">
        <f>IF($P$95&gt;5,$C$96/$P$95,"0")</f>
        <v>0</v>
      </c>
      <c r="J96" s="7" t="str">
        <f>IF($P$95&gt;6,$C$96/$P$94,"0")</f>
        <v>0</v>
      </c>
      <c r="K96" s="7" t="str">
        <f>IF($P$95&gt;7,$C$96/$P$95,"0")</f>
        <v>0</v>
      </c>
      <c r="L96" s="7" t="str">
        <f>IF($P$95&gt;8,$C$96/$P$95,"0")</f>
        <v>0</v>
      </c>
      <c r="N96" t="s">
        <v>13</v>
      </c>
      <c r="O96" t="s">
        <v>54</v>
      </c>
      <c r="P96" s="85">
        <f>'Policy Decisions'!K59</f>
        <v>5</v>
      </c>
      <c r="Q96" t="s">
        <v>26</v>
      </c>
    </row>
    <row r="97" spans="1:17" x14ac:dyDescent="0.3">
      <c r="A97" s="10" t="str">
        <f>IF(Inputs!$J$5=3,"Pre-Pri Year 3","")</f>
        <v>Pre-Pri Year 3</v>
      </c>
      <c r="B97" s="16" t="str">
        <f>IF(Inputs!$J$5=3,"Female","")</f>
        <v>Female</v>
      </c>
      <c r="C97" s="57">
        <f>Inputs!N72</f>
        <v>215</v>
      </c>
      <c r="D97" s="7">
        <f>IF($P$97&gt;0,$C$49/$P$49,"0")</f>
        <v>52.2</v>
      </c>
      <c r="E97" s="7">
        <f>IF($P$97&gt;1,$C$97/$P$97,"0")</f>
        <v>43</v>
      </c>
      <c r="F97" s="7">
        <f>IF($P$97&gt;2,$C$97/$P$97,"0")</f>
        <v>43</v>
      </c>
      <c r="G97" s="7">
        <f>IF($P$97&gt;3,$C$97/$P$97,"0")</f>
        <v>43</v>
      </c>
      <c r="H97" s="7">
        <f>IF($P$97&gt;4,$C$97/$P$97,"0")</f>
        <v>43</v>
      </c>
      <c r="I97" s="7" t="str">
        <f>IF($P$97&gt;5,$C$97/$P$97,"0")</f>
        <v>0</v>
      </c>
      <c r="J97" s="7" t="str">
        <f>IF($P$97&gt;6,$C$97/$P$97,"0")</f>
        <v>0</v>
      </c>
      <c r="K97" s="7" t="str">
        <f>IF($P$97&gt;7,$C$97/$P$97,"0")</f>
        <v>0</v>
      </c>
      <c r="L97" s="7" t="str">
        <f>IF($P$97&gt;8,$C$97/$P$97,"0")</f>
        <v>0</v>
      </c>
      <c r="N97" t="s">
        <v>14</v>
      </c>
      <c r="O97" t="s">
        <v>54</v>
      </c>
      <c r="P97" s="85">
        <f>'Policy Decisions'!K60</f>
        <v>5</v>
      </c>
      <c r="Q97" t="s">
        <v>26</v>
      </c>
    </row>
    <row r="98" spans="1:17" x14ac:dyDescent="0.3">
      <c r="A98" s="10" t="str">
        <f>IF(Inputs!$J$5&gt;1,"Pre-Pri Year 1","Pre-Pri Year")</f>
        <v>Pre-Pri Year 1</v>
      </c>
      <c r="B98" s="16" t="str">
        <f>IF(Inputs!$J$5&gt;1,"Total","Total")</f>
        <v>Total</v>
      </c>
      <c r="C98" s="57">
        <f>C92+C95</f>
        <v>713</v>
      </c>
      <c r="D98" s="19">
        <f>D92+D95</f>
        <v>153.4</v>
      </c>
      <c r="E98" s="19">
        <f t="shared" ref="E98:L98" si="49">E92+E95</f>
        <v>142.6</v>
      </c>
      <c r="F98" s="19">
        <f t="shared" si="49"/>
        <v>142.6</v>
      </c>
      <c r="G98" s="19">
        <f t="shared" si="49"/>
        <v>142.6</v>
      </c>
      <c r="H98" s="19">
        <f t="shared" si="49"/>
        <v>142.6</v>
      </c>
      <c r="I98" s="19">
        <f t="shared" si="49"/>
        <v>0</v>
      </c>
      <c r="J98" s="19">
        <f t="shared" si="49"/>
        <v>0</v>
      </c>
      <c r="K98" s="19">
        <f>K92+K95</f>
        <v>0</v>
      </c>
      <c r="L98" s="19">
        <f t="shared" si="49"/>
        <v>0</v>
      </c>
    </row>
    <row r="99" spans="1:17" x14ac:dyDescent="0.3">
      <c r="A99" s="10" t="str">
        <f>IF(Inputs!$J$5&gt;1,"Pre-Pri Year 2","")</f>
        <v>Pre-Pri Year 2</v>
      </c>
      <c r="B99" s="16" t="str">
        <f>IF(Inputs!$J$5&gt;1,"Male","")</f>
        <v>Male</v>
      </c>
      <c r="C99" s="57">
        <f t="shared" ref="C99:L100" si="50">C93+C96</f>
        <v>627</v>
      </c>
      <c r="D99" s="19">
        <f t="shared" si="50"/>
        <v>171.4</v>
      </c>
      <c r="E99" s="19">
        <f t="shared" si="50"/>
        <v>125.4</v>
      </c>
      <c r="F99" s="19">
        <f t="shared" si="50"/>
        <v>125.4</v>
      </c>
      <c r="G99" s="19">
        <f t="shared" si="50"/>
        <v>125.4</v>
      </c>
      <c r="H99" s="19">
        <f t="shared" si="50"/>
        <v>125.4</v>
      </c>
      <c r="I99" s="19">
        <f t="shared" si="50"/>
        <v>0</v>
      </c>
      <c r="J99" s="19">
        <f t="shared" si="50"/>
        <v>0</v>
      </c>
      <c r="K99" s="19">
        <f>K93+K96</f>
        <v>0</v>
      </c>
      <c r="L99" s="19">
        <f t="shared" si="50"/>
        <v>0</v>
      </c>
    </row>
    <row r="100" spans="1:17" x14ac:dyDescent="0.3">
      <c r="A100" s="10" t="str">
        <f>IF(Inputs!$J$5=3,"Pre-Pri Year 3","")</f>
        <v>Pre-Pri Year 3</v>
      </c>
      <c r="B100" s="16" t="str">
        <f>IF(Inputs!$J$5=3,"Male","")</f>
        <v>Male</v>
      </c>
      <c r="C100" s="57">
        <f t="shared" si="50"/>
        <v>360</v>
      </c>
      <c r="D100" s="19">
        <f t="shared" si="50"/>
        <v>92.6</v>
      </c>
      <c r="E100" s="19">
        <f t="shared" si="50"/>
        <v>72</v>
      </c>
      <c r="F100" s="19">
        <f t="shared" si="50"/>
        <v>72</v>
      </c>
      <c r="G100" s="19">
        <f t="shared" si="50"/>
        <v>72</v>
      </c>
      <c r="H100" s="19">
        <f t="shared" si="50"/>
        <v>72</v>
      </c>
      <c r="I100" s="19">
        <f t="shared" si="50"/>
        <v>0</v>
      </c>
      <c r="J100" s="19">
        <f t="shared" si="50"/>
        <v>0</v>
      </c>
      <c r="K100" s="19">
        <f t="shared" si="50"/>
        <v>0</v>
      </c>
      <c r="L100" s="19">
        <f t="shared" si="50"/>
        <v>0</v>
      </c>
    </row>
    <row r="101" spans="1:17" x14ac:dyDescent="0.3">
      <c r="A101" s="10" t="s">
        <v>73</v>
      </c>
      <c r="B101" s="16" t="s">
        <v>13</v>
      </c>
      <c r="C101" s="57">
        <f>C92+C93+C94</f>
        <v>615</v>
      </c>
      <c r="D101" s="29">
        <f>D92+D93+D94</f>
        <v>163.4</v>
      </c>
      <c r="E101" s="29">
        <f t="shared" ref="E101:L101" si="51">E92+E93+E94</f>
        <v>123</v>
      </c>
      <c r="F101" s="29">
        <f t="shared" si="51"/>
        <v>123</v>
      </c>
      <c r="G101" s="29">
        <f t="shared" si="51"/>
        <v>123</v>
      </c>
      <c r="H101" s="29">
        <f t="shared" si="51"/>
        <v>123</v>
      </c>
      <c r="I101" s="29">
        <f t="shared" si="51"/>
        <v>0</v>
      </c>
      <c r="J101" s="29">
        <f t="shared" si="51"/>
        <v>0</v>
      </c>
      <c r="K101" s="29">
        <f t="shared" si="51"/>
        <v>0</v>
      </c>
      <c r="L101" s="29">
        <f t="shared" si="51"/>
        <v>0</v>
      </c>
    </row>
    <row r="102" spans="1:17" x14ac:dyDescent="0.3">
      <c r="A102" s="10" t="s">
        <v>73</v>
      </c>
      <c r="B102" s="16" t="s">
        <v>14</v>
      </c>
      <c r="C102" s="57">
        <f>C95+C96+C97</f>
        <v>1085</v>
      </c>
      <c r="D102" s="29">
        <f>D95+D96+D97</f>
        <v>254</v>
      </c>
      <c r="E102" s="29">
        <f t="shared" ref="E102:L102" si="52">E95+E96+E97</f>
        <v>217</v>
      </c>
      <c r="F102" s="29">
        <f t="shared" si="52"/>
        <v>217</v>
      </c>
      <c r="G102" s="29">
        <f t="shared" si="52"/>
        <v>217</v>
      </c>
      <c r="H102" s="29">
        <f t="shared" si="52"/>
        <v>217</v>
      </c>
      <c r="I102" s="29">
        <f t="shared" si="52"/>
        <v>0</v>
      </c>
      <c r="J102" s="29">
        <f t="shared" si="52"/>
        <v>0</v>
      </c>
      <c r="K102" s="29">
        <f t="shared" si="52"/>
        <v>0</v>
      </c>
      <c r="L102" s="29">
        <f t="shared" si="52"/>
        <v>0</v>
      </c>
    </row>
    <row r="103" spans="1:17" x14ac:dyDescent="0.3">
      <c r="A103" s="10" t="s">
        <v>73</v>
      </c>
      <c r="B103" s="16" t="s">
        <v>18</v>
      </c>
      <c r="C103" s="57">
        <f>C98+C99+C100</f>
        <v>1700</v>
      </c>
      <c r="D103" s="29">
        <f>D98+D99+D100</f>
        <v>417.4</v>
      </c>
      <c r="E103" s="29">
        <f t="shared" ref="E103:L103" si="53">E98+E99+E100</f>
        <v>340</v>
      </c>
      <c r="F103" s="29">
        <f t="shared" si="53"/>
        <v>340</v>
      </c>
      <c r="G103" s="29">
        <f t="shared" si="53"/>
        <v>340</v>
      </c>
      <c r="H103" s="29">
        <f t="shared" si="53"/>
        <v>340</v>
      </c>
      <c r="I103" s="29">
        <f t="shared" si="53"/>
        <v>0</v>
      </c>
      <c r="J103" s="29">
        <f t="shared" si="53"/>
        <v>0</v>
      </c>
      <c r="K103" s="29">
        <f t="shared" si="53"/>
        <v>0</v>
      </c>
      <c r="L103" s="29">
        <f t="shared" si="53"/>
        <v>0</v>
      </c>
    </row>
    <row r="105" spans="1:17" x14ac:dyDescent="0.3">
      <c r="A105" s="3" t="str">
        <f>"Total "&amp;Semantics!B9&amp;"s Required - Public"</f>
        <v>Total ECE Kits Required - Public</v>
      </c>
      <c r="B105" s="3"/>
    </row>
    <row r="107" spans="1:17" x14ac:dyDescent="0.3">
      <c r="A107" s="10" t="s">
        <v>124</v>
      </c>
      <c r="B107" s="10" t="s">
        <v>74</v>
      </c>
      <c r="C107" s="10">
        <f>Inputs!$F$5</f>
        <v>2021</v>
      </c>
      <c r="D107" s="10">
        <f>C107+1</f>
        <v>2022</v>
      </c>
      <c r="E107" s="10">
        <f t="shared" ref="E107:L107" si="54">D107+1</f>
        <v>2023</v>
      </c>
      <c r="F107" s="10">
        <f t="shared" si="54"/>
        <v>2024</v>
      </c>
      <c r="G107" s="10">
        <f t="shared" si="54"/>
        <v>2025</v>
      </c>
      <c r="H107" s="10">
        <f t="shared" si="54"/>
        <v>2026</v>
      </c>
      <c r="I107" s="10">
        <f t="shared" si="54"/>
        <v>2027</v>
      </c>
      <c r="J107" s="10">
        <f t="shared" si="54"/>
        <v>2028</v>
      </c>
      <c r="K107" s="10">
        <f t="shared" si="54"/>
        <v>2029</v>
      </c>
      <c r="L107" s="10">
        <f t="shared" si="54"/>
        <v>2030</v>
      </c>
    </row>
    <row r="108" spans="1:17" x14ac:dyDescent="0.3">
      <c r="A108" s="10" t="str">
        <f>IF(Inputs!$J$5&gt;1,"Pre-Pri Year 1","Pre-Pri Year")</f>
        <v>Pre-Pri Year 1</v>
      </c>
      <c r="B108" s="16" t="str">
        <f>IF(Inputs!$J$5&gt;1,"Male","Male")</f>
        <v>Male</v>
      </c>
      <c r="C108" s="57" t="s">
        <v>34</v>
      </c>
      <c r="D108" s="7">
        <f>D76+D92</f>
        <v>247.85000000000025</v>
      </c>
      <c r="E108" s="7">
        <f t="shared" ref="E108:L108" si="55">E76+E92</f>
        <v>159.26750000000004</v>
      </c>
      <c r="F108" s="7">
        <f t="shared" si="55"/>
        <v>164.68087500000013</v>
      </c>
      <c r="G108" s="7">
        <f t="shared" si="55"/>
        <v>170.36491875000019</v>
      </c>
      <c r="H108" s="7">
        <f t="shared" si="55"/>
        <v>176.3331646875003</v>
      </c>
      <c r="I108" s="7">
        <f t="shared" si="55"/>
        <v>131.59982292187536</v>
      </c>
      <c r="J108" s="7">
        <f t="shared" si="55"/>
        <v>138.17981406796898</v>
      </c>
      <c r="K108" s="7">
        <f t="shared" si="55"/>
        <v>145.08880477136748</v>
      </c>
      <c r="L108" s="7">
        <f t="shared" si="55"/>
        <v>152.34324500993583</v>
      </c>
    </row>
    <row r="109" spans="1:17" x14ac:dyDescent="0.3">
      <c r="A109" s="10" t="str">
        <f>IF(Inputs!$J$5&gt;1,"Pre-Pri Year 2","")</f>
        <v>Pre-Pri Year 2</v>
      </c>
      <c r="B109" s="16" t="str">
        <f>IF(Inputs!$J$5&gt;1,"Male","")</f>
        <v>Male</v>
      </c>
      <c r="C109" s="57" t="s">
        <v>34</v>
      </c>
      <c r="D109" s="7">
        <f t="shared" ref="D109:L109" si="56">D77+D93</f>
        <v>72</v>
      </c>
      <c r="E109" s="7">
        <f t="shared" si="56"/>
        <v>185.38044000000033</v>
      </c>
      <c r="F109" s="7">
        <f t="shared" si="56"/>
        <v>174.54995080000032</v>
      </c>
      <c r="G109" s="7">
        <f t="shared" si="56"/>
        <v>180.36351764800008</v>
      </c>
      <c r="H109" s="7">
        <f t="shared" si="56"/>
        <v>187.91343309939984</v>
      </c>
      <c r="I109" s="7">
        <f t="shared" si="56"/>
        <v>152.97227221449671</v>
      </c>
      <c r="J109" s="7">
        <f t="shared" si="56"/>
        <v>161.47042038314879</v>
      </c>
      <c r="K109" s="7">
        <f t="shared" si="56"/>
        <v>170.42492196520033</v>
      </c>
      <c r="L109" s="7">
        <f t="shared" si="56"/>
        <v>118.92212364956892</v>
      </c>
    </row>
    <row r="110" spans="1:17" x14ac:dyDescent="0.3">
      <c r="A110" s="10" t="str">
        <f>IF(Inputs!$J$5=3,"Pre-Pri Year 3","")</f>
        <v>Pre-Pri Year 3</v>
      </c>
      <c r="B110" s="16" t="str">
        <f>IF(Inputs!$J$5=3,"Male","")</f>
        <v>Male</v>
      </c>
      <c r="C110" s="57" t="s">
        <v>34</v>
      </c>
      <c r="D110" s="7">
        <f t="shared" ref="D110:L110" si="57">D78+D94</f>
        <v>40.4</v>
      </c>
      <c r="E110" s="7">
        <f t="shared" si="57"/>
        <v>29</v>
      </c>
      <c r="F110" s="7">
        <f t="shared" si="57"/>
        <v>147.85585180000027</v>
      </c>
      <c r="G110" s="7">
        <f t="shared" si="57"/>
        <v>179.90069122400044</v>
      </c>
      <c r="H110" s="7">
        <f t="shared" si="57"/>
        <v>189.32794157680013</v>
      </c>
      <c r="I110" s="7">
        <f t="shared" si="57"/>
        <v>170.39193060766749</v>
      </c>
      <c r="J110" s="7">
        <f t="shared" si="57"/>
        <v>181.14138810551376</v>
      </c>
      <c r="K110" s="7">
        <f t="shared" si="57"/>
        <v>136.77869083106393</v>
      </c>
      <c r="L110" s="7">
        <f t="shared" si="57"/>
        <v>170.42492196520033</v>
      </c>
    </row>
    <row r="111" spans="1:17" x14ac:dyDescent="0.3">
      <c r="A111" s="10" t="str">
        <f>IF(Inputs!$J$5&gt;1,"Pre-Pri Year 1","Pre-Pri Year")</f>
        <v>Pre-Pri Year 1</v>
      </c>
      <c r="B111" s="16" t="str">
        <f>IF(Inputs!$J$5&gt;1,"Female","Female")</f>
        <v>Female</v>
      </c>
      <c r="C111" s="57" t="s">
        <v>34</v>
      </c>
      <c r="D111" s="7">
        <f t="shared" ref="D111:L111" si="58">D79+D95</f>
        <v>185.50400000000008</v>
      </c>
      <c r="E111" s="7">
        <f t="shared" si="58"/>
        <v>179.69024000000013</v>
      </c>
      <c r="F111" s="7">
        <f t="shared" si="58"/>
        <v>184.97565440000011</v>
      </c>
      <c r="G111" s="7">
        <f t="shared" si="58"/>
        <v>190.57819366399997</v>
      </c>
      <c r="H111" s="7">
        <f t="shared" si="58"/>
        <v>196.51688528384014</v>
      </c>
      <c r="I111" s="7">
        <f t="shared" si="58"/>
        <v>111.21189840087051</v>
      </c>
      <c r="J111" s="7">
        <f t="shared" si="58"/>
        <v>117.88461230492273</v>
      </c>
      <c r="K111" s="7">
        <f t="shared" si="58"/>
        <v>124.95768904321812</v>
      </c>
      <c r="L111" s="7">
        <f t="shared" si="58"/>
        <v>132.45515038581118</v>
      </c>
    </row>
    <row r="112" spans="1:17" x14ac:dyDescent="0.3">
      <c r="A112" s="10" t="str">
        <f>IF(Inputs!$J$5&gt;1,"Pre-Pri Year 2","")</f>
        <v>Pre-Pri Year 2</v>
      </c>
      <c r="B112" s="16" t="str">
        <f>IF(Inputs!$J$5&gt;1,"Female","")</f>
        <v>Female</v>
      </c>
      <c r="C112" s="57" t="s">
        <v>34</v>
      </c>
      <c r="D112" s="7">
        <f t="shared" ref="D112:L112" si="59">D80+D96</f>
        <v>99.4</v>
      </c>
      <c r="E112" s="7">
        <f t="shared" si="59"/>
        <v>129.2874000000001</v>
      </c>
      <c r="F112" s="7">
        <f t="shared" si="59"/>
        <v>176.22808773333333</v>
      </c>
      <c r="G112" s="7">
        <f t="shared" si="59"/>
        <v>183.9345208826669</v>
      </c>
      <c r="H112" s="7">
        <f t="shared" si="59"/>
        <v>190.83527064160006</v>
      </c>
      <c r="I112" s="7">
        <f t="shared" si="59"/>
        <v>131.49582955574613</v>
      </c>
      <c r="J112" s="7">
        <f t="shared" si="59"/>
        <v>141.60981729710838</v>
      </c>
      <c r="K112" s="7">
        <f t="shared" si="59"/>
        <v>152.46409858103337</v>
      </c>
      <c r="L112" s="7">
        <f t="shared" si="59"/>
        <v>164.11109827675972</v>
      </c>
    </row>
    <row r="113" spans="1:17" x14ac:dyDescent="0.3">
      <c r="A113" s="10" t="str">
        <f>IF(Inputs!$J$5=3,"Pre-Pri Year 3","")</f>
        <v>Pre-Pri Year 3</v>
      </c>
      <c r="B113" s="16" t="str">
        <f>IF(Inputs!$J$5=3,"Female","")</f>
        <v>Female</v>
      </c>
      <c r="C113" s="57" t="s">
        <v>34</v>
      </c>
      <c r="D113" s="7">
        <f t="shared" ref="D113:L113" si="60">D81+D97</f>
        <v>52.2</v>
      </c>
      <c r="E113" s="7">
        <f t="shared" si="60"/>
        <v>43</v>
      </c>
      <c r="F113" s="7">
        <f t="shared" si="60"/>
        <v>64.320024399999966</v>
      </c>
      <c r="G113" s="7">
        <f t="shared" si="60"/>
        <v>141.96933664800017</v>
      </c>
      <c r="H113" s="7">
        <f t="shared" si="60"/>
        <v>153.16247128920028</v>
      </c>
      <c r="I113" s="7">
        <f t="shared" si="60"/>
        <v>118.73117016494386</v>
      </c>
      <c r="J113" s="7">
        <f t="shared" si="60"/>
        <v>157.71106195866815</v>
      </c>
      <c r="K113" s="7">
        <f t="shared" si="60"/>
        <v>172.88260312743321</v>
      </c>
      <c r="L113" s="7">
        <f t="shared" si="60"/>
        <v>189.40127710324256</v>
      </c>
    </row>
    <row r="114" spans="1:17" x14ac:dyDescent="0.3">
      <c r="A114" s="10" t="str">
        <f>IF(Inputs!$J$5&gt;1,"Pre-Pri Year 1","Pre-Pri Year")</f>
        <v>Pre-Pri Year 1</v>
      </c>
      <c r="B114" s="16" t="str">
        <f>IF(Inputs!$J$5&gt;1,"Total","Total")</f>
        <v>Total</v>
      </c>
      <c r="C114" s="57" t="s">
        <v>34</v>
      </c>
      <c r="D114" s="7">
        <f t="shared" ref="D114:L114" si="61">D82+D98</f>
        <v>433.35400000000038</v>
      </c>
      <c r="E114" s="7">
        <f t="shared" si="61"/>
        <v>338.95774000000017</v>
      </c>
      <c r="F114" s="7">
        <f t="shared" si="61"/>
        <v>349.65652940000024</v>
      </c>
      <c r="G114" s="7">
        <f t="shared" si="61"/>
        <v>360.94311241400015</v>
      </c>
      <c r="H114" s="7">
        <f t="shared" si="61"/>
        <v>372.85004997134047</v>
      </c>
      <c r="I114" s="7">
        <f t="shared" si="61"/>
        <v>242.81172132274588</v>
      </c>
      <c r="J114" s="7">
        <f t="shared" si="61"/>
        <v>256.06442637289172</v>
      </c>
      <c r="K114" s="7">
        <f t="shared" si="61"/>
        <v>270.04649381458557</v>
      </c>
      <c r="L114" s="7">
        <f t="shared" si="61"/>
        <v>284.79839539574698</v>
      </c>
    </row>
    <row r="115" spans="1:17" x14ac:dyDescent="0.3">
      <c r="A115" s="10" t="str">
        <f>IF(Inputs!$J$5&gt;1,"Pre-Pri Year 2","")</f>
        <v>Pre-Pri Year 2</v>
      </c>
      <c r="B115" s="16" t="str">
        <f>IF(Inputs!$J$5&gt;1,"Male","")</f>
        <v>Male</v>
      </c>
      <c r="C115" s="57" t="s">
        <v>34</v>
      </c>
      <c r="D115" s="7">
        <f t="shared" ref="D115:L115" si="62">D83+D99</f>
        <v>171.4</v>
      </c>
      <c r="E115" s="7">
        <f t="shared" si="62"/>
        <v>314.66784000000041</v>
      </c>
      <c r="F115" s="7">
        <f t="shared" si="62"/>
        <v>350.77803853333364</v>
      </c>
      <c r="G115" s="7">
        <f t="shared" si="62"/>
        <v>364.29803853066699</v>
      </c>
      <c r="H115" s="7">
        <f t="shared" si="62"/>
        <v>378.74870374099987</v>
      </c>
      <c r="I115" s="7">
        <f t="shared" si="62"/>
        <v>284.46810177024281</v>
      </c>
      <c r="J115" s="7">
        <f t="shared" si="62"/>
        <v>303.08023768025714</v>
      </c>
      <c r="K115" s="7">
        <f t="shared" si="62"/>
        <v>322.88902054623372</v>
      </c>
      <c r="L115" s="7">
        <f t="shared" si="62"/>
        <v>283.03322192632862</v>
      </c>
    </row>
    <row r="116" spans="1:17" x14ac:dyDescent="0.3">
      <c r="A116" s="10" t="str">
        <f>IF(Inputs!$J$5=3,"Pre-Pri Year 3","")</f>
        <v>Pre-Pri Year 3</v>
      </c>
      <c r="B116" s="16" t="str">
        <f>IF(Inputs!$J$5=3,"Male","")</f>
        <v>Male</v>
      </c>
      <c r="C116" s="57" t="s">
        <v>34</v>
      </c>
      <c r="D116" s="7">
        <f t="shared" ref="D116:L116" si="63">D84+D100</f>
        <v>92.6</v>
      </c>
      <c r="E116" s="7">
        <f t="shared" si="63"/>
        <v>72</v>
      </c>
      <c r="F116" s="7">
        <f t="shared" si="63"/>
        <v>212.17587620000023</v>
      </c>
      <c r="G116" s="7">
        <f t="shared" si="63"/>
        <v>321.87002787200061</v>
      </c>
      <c r="H116" s="7">
        <f t="shared" si="63"/>
        <v>342.49041286600038</v>
      </c>
      <c r="I116" s="7">
        <f t="shared" si="63"/>
        <v>289.12310077261134</v>
      </c>
      <c r="J116" s="7">
        <f t="shared" si="63"/>
        <v>338.85245006418188</v>
      </c>
      <c r="K116" s="7">
        <f t="shared" si="63"/>
        <v>309.66129395849714</v>
      </c>
      <c r="L116" s="7">
        <f t="shared" si="63"/>
        <v>359.82619906844286</v>
      </c>
    </row>
    <row r="117" spans="1:17" x14ac:dyDescent="0.3">
      <c r="A117" s="10" t="s">
        <v>73</v>
      </c>
      <c r="B117" s="16" t="s">
        <v>13</v>
      </c>
      <c r="C117" s="57" t="s">
        <v>34</v>
      </c>
      <c r="D117" s="29">
        <f t="shared" ref="D117:L117" si="64">D85+D101</f>
        <v>360.25000000000023</v>
      </c>
      <c r="E117" s="29">
        <f t="shared" si="64"/>
        <v>373.6479400000004</v>
      </c>
      <c r="F117" s="29">
        <f t="shared" si="64"/>
        <v>487.08667760000071</v>
      </c>
      <c r="G117" s="29">
        <f t="shared" si="64"/>
        <v>530.62912762200074</v>
      </c>
      <c r="H117" s="29">
        <f t="shared" si="64"/>
        <v>553.5745393637003</v>
      </c>
      <c r="I117" s="29">
        <f t="shared" si="64"/>
        <v>454.96402574403953</v>
      </c>
      <c r="J117" s="29">
        <f t="shared" si="64"/>
        <v>480.79162255663152</v>
      </c>
      <c r="K117" s="29">
        <f t="shared" si="64"/>
        <v>452.29241756763179</v>
      </c>
      <c r="L117" s="29">
        <f t="shared" si="64"/>
        <v>441.69029062470509</v>
      </c>
    </row>
    <row r="118" spans="1:17" x14ac:dyDescent="0.3">
      <c r="A118" s="10" t="s">
        <v>73</v>
      </c>
      <c r="B118" s="16" t="s">
        <v>14</v>
      </c>
      <c r="C118" s="57" t="s">
        <v>34</v>
      </c>
      <c r="D118" s="29">
        <f t="shared" ref="D118:L118" si="65">D86+D102</f>
        <v>337.1040000000001</v>
      </c>
      <c r="E118" s="29">
        <f t="shared" si="65"/>
        <v>351.97764000000024</v>
      </c>
      <c r="F118" s="29">
        <f t="shared" si="65"/>
        <v>425.5237665333334</v>
      </c>
      <c r="G118" s="29">
        <f t="shared" si="65"/>
        <v>516.48205119466706</v>
      </c>
      <c r="H118" s="29">
        <f t="shared" si="65"/>
        <v>540.51462721464054</v>
      </c>
      <c r="I118" s="29">
        <f t="shared" si="65"/>
        <v>361.4388981215605</v>
      </c>
      <c r="J118" s="29">
        <f t="shared" si="65"/>
        <v>417.20549156069927</v>
      </c>
      <c r="K118" s="29">
        <f t="shared" si="65"/>
        <v>450.30439075168465</v>
      </c>
      <c r="L118" s="29">
        <f t="shared" si="65"/>
        <v>485.96752576581343</v>
      </c>
    </row>
    <row r="119" spans="1:17" x14ac:dyDescent="0.3">
      <c r="A119" s="10" t="s">
        <v>73</v>
      </c>
      <c r="B119" s="16" t="s">
        <v>18</v>
      </c>
      <c r="C119" s="57" t="s">
        <v>34</v>
      </c>
      <c r="D119" s="29">
        <f t="shared" ref="D119:L119" si="66">D87+D103</f>
        <v>697.35400000000027</v>
      </c>
      <c r="E119" s="29">
        <f t="shared" si="66"/>
        <v>725.62558000000058</v>
      </c>
      <c r="F119" s="29">
        <f t="shared" si="66"/>
        <v>912.61044413333411</v>
      </c>
      <c r="G119" s="29">
        <f t="shared" si="66"/>
        <v>1047.1111788166677</v>
      </c>
      <c r="H119" s="29">
        <f t="shared" si="66"/>
        <v>1094.0891665783406</v>
      </c>
      <c r="I119" s="29">
        <f t="shared" si="66"/>
        <v>816.40292386559997</v>
      </c>
      <c r="J119" s="29">
        <f t="shared" si="66"/>
        <v>897.99711411733074</v>
      </c>
      <c r="K119" s="29">
        <f t="shared" si="66"/>
        <v>902.59680831931644</v>
      </c>
      <c r="L119" s="29">
        <f t="shared" si="66"/>
        <v>927.65781639051841</v>
      </c>
    </row>
    <row r="121" spans="1:17" x14ac:dyDescent="0.3">
      <c r="A121" s="3" t="str">
        <f>"Additional "&amp;Semantics!B10&amp;"s - Public"</f>
        <v>Additional Reading Corners - Public</v>
      </c>
      <c r="B121" s="3"/>
    </row>
    <row r="122" spans="1:17" x14ac:dyDescent="0.3">
      <c r="C122" s="28" t="s">
        <v>76</v>
      </c>
    </row>
    <row r="123" spans="1:17" x14ac:dyDescent="0.3">
      <c r="A123" s="10" t="s">
        <v>124</v>
      </c>
      <c r="B123" s="10" t="s">
        <v>74</v>
      </c>
      <c r="C123" s="10">
        <f>Inputs!$F$5</f>
        <v>2021</v>
      </c>
      <c r="D123" s="10">
        <f>C123+1</f>
        <v>2022</v>
      </c>
      <c r="E123" s="10">
        <f t="shared" ref="E123:L123" si="67">D123+1</f>
        <v>2023</v>
      </c>
      <c r="F123" s="10">
        <f t="shared" si="67"/>
        <v>2024</v>
      </c>
      <c r="G123" s="10">
        <f t="shared" si="67"/>
        <v>2025</v>
      </c>
      <c r="H123" s="10">
        <f t="shared" si="67"/>
        <v>2026</v>
      </c>
      <c r="I123" s="10">
        <f t="shared" si="67"/>
        <v>2027</v>
      </c>
      <c r="J123" s="10">
        <f t="shared" si="67"/>
        <v>2028</v>
      </c>
      <c r="K123" s="10">
        <f t="shared" si="67"/>
        <v>2029</v>
      </c>
      <c r="L123" s="10">
        <f t="shared" si="67"/>
        <v>2030</v>
      </c>
      <c r="N123" s="13" t="s">
        <v>52</v>
      </c>
    </row>
    <row r="124" spans="1:17" x14ac:dyDescent="0.3">
      <c r="A124" s="10" t="str">
        <f>IF(Inputs!$J$5&gt;1,"Pre-Pri Year 1","Pre-Pri Year")</f>
        <v>Pre-Pri Year 1</v>
      </c>
      <c r="B124" s="16" t="str">
        <f>IF(Inputs!$J$5&gt;1,"Male","Male")</f>
        <v>Male</v>
      </c>
      <c r="C124" s="57">
        <f>Inputs!R67</f>
        <v>756</v>
      </c>
      <c r="D124" s="7">
        <f>D8/$P$124</f>
        <v>196.85000000000025</v>
      </c>
      <c r="E124" s="7">
        <f t="shared" ref="E124:L124" si="68">E8/$P$124</f>
        <v>108.26750000000006</v>
      </c>
      <c r="F124" s="7">
        <f t="shared" si="68"/>
        <v>113.68087500000014</v>
      </c>
      <c r="G124" s="7">
        <f t="shared" si="68"/>
        <v>119.36491875000017</v>
      </c>
      <c r="H124" s="7">
        <f t="shared" si="68"/>
        <v>125.3331646875003</v>
      </c>
      <c r="I124" s="7">
        <f t="shared" si="68"/>
        <v>131.59982292187536</v>
      </c>
      <c r="J124" s="7">
        <f t="shared" si="68"/>
        <v>138.17981406796898</v>
      </c>
      <c r="K124" s="7">
        <f t="shared" si="68"/>
        <v>145.08880477136748</v>
      </c>
      <c r="L124" s="7">
        <f t="shared" si="68"/>
        <v>152.34324500993583</v>
      </c>
      <c r="N124" t="s">
        <v>13</v>
      </c>
      <c r="O124" t="str">
        <f>"1 new "&amp;Semantics!B10&amp;" for"</f>
        <v>1 new Reading Corner for</v>
      </c>
      <c r="P124" s="86">
        <f>'Policy Decisions'!K64</f>
        <v>30</v>
      </c>
      <c r="Q124" t="s">
        <v>53</v>
      </c>
    </row>
    <row r="125" spans="1:17" x14ac:dyDescent="0.3">
      <c r="A125" s="10" t="str">
        <f>IF(Inputs!$J$5&gt;1,"Pre-Pri Year 2","")</f>
        <v>Pre-Pri Year 2</v>
      </c>
      <c r="B125" s="16" t="str">
        <f>IF(Inputs!$J$5&gt;1,"Male","")</f>
        <v>Male</v>
      </c>
      <c r="C125" s="57">
        <f>Inputs!R68</f>
        <v>456</v>
      </c>
      <c r="D125" s="7">
        <f t="shared" ref="D125:L125" si="69">D9/$P$124</f>
        <v>0</v>
      </c>
      <c r="E125" s="7">
        <f t="shared" si="69"/>
        <v>142.38044000000033</v>
      </c>
      <c r="F125" s="7">
        <f t="shared" si="69"/>
        <v>131.54995080000032</v>
      </c>
      <c r="G125" s="7">
        <f t="shared" si="69"/>
        <v>137.36351764800008</v>
      </c>
      <c r="H125" s="7">
        <f t="shared" si="69"/>
        <v>144.91343309939984</v>
      </c>
      <c r="I125" s="7">
        <f t="shared" si="69"/>
        <v>152.97227221449671</v>
      </c>
      <c r="J125" s="7">
        <f t="shared" si="69"/>
        <v>161.47042038314879</v>
      </c>
      <c r="K125" s="7">
        <f t="shared" si="69"/>
        <v>170.42492196520033</v>
      </c>
      <c r="L125" s="7">
        <f t="shared" si="69"/>
        <v>118.92212364956892</v>
      </c>
      <c r="N125" t="s">
        <v>14</v>
      </c>
      <c r="O125" t="str">
        <f>"1 new "&amp;Semantics!B10&amp;" for"</f>
        <v>1 new Reading Corner for</v>
      </c>
      <c r="P125" s="86">
        <f>'Policy Decisions'!K65</f>
        <v>30</v>
      </c>
      <c r="Q125" t="s">
        <v>53</v>
      </c>
    </row>
    <row r="126" spans="1:17" x14ac:dyDescent="0.3">
      <c r="A126" s="10" t="str">
        <f>IF(Inputs!$J$5=3,"Pre-Pri Year 3","")</f>
        <v>Pre-Pri Year 3</v>
      </c>
      <c r="B126" s="16" t="str">
        <f>IF(Inputs!$J$5=3,"Male","")</f>
        <v>Male</v>
      </c>
      <c r="C126" s="57">
        <f>Inputs!R69</f>
        <v>852</v>
      </c>
      <c r="D126" s="7">
        <f t="shared" ref="D126:L126" si="70">D10/$P$124</f>
        <v>0</v>
      </c>
      <c r="E126" s="7">
        <f t="shared" si="70"/>
        <v>0</v>
      </c>
      <c r="F126" s="7">
        <f t="shared" si="70"/>
        <v>118.85585180000028</v>
      </c>
      <c r="G126" s="7">
        <f t="shared" si="70"/>
        <v>150.90069122400044</v>
      </c>
      <c r="H126" s="7">
        <f t="shared" si="70"/>
        <v>160.32794157680013</v>
      </c>
      <c r="I126" s="7">
        <f t="shared" si="70"/>
        <v>170.39193060766749</v>
      </c>
      <c r="J126" s="7">
        <f t="shared" si="70"/>
        <v>181.14138810551376</v>
      </c>
      <c r="K126" s="7">
        <f t="shared" si="70"/>
        <v>136.77869083106393</v>
      </c>
      <c r="L126" s="7">
        <f t="shared" si="70"/>
        <v>170.42492196520033</v>
      </c>
    </row>
    <row r="127" spans="1:17" x14ac:dyDescent="0.3">
      <c r="A127" s="10" t="str">
        <f>IF(Inputs!$J$5&gt;1,"Pre-Pri Year 1","Pre-Pri Year")</f>
        <v>Pre-Pri Year 1</v>
      </c>
      <c r="B127" s="16" t="str">
        <f>IF(Inputs!$J$5&gt;1,"Female","Female")</f>
        <v>Female</v>
      </c>
      <c r="C127" s="57">
        <f>Inputs!R70</f>
        <v>645</v>
      </c>
      <c r="D127" s="7">
        <f>D13/$P$125</f>
        <v>83.104000000000084</v>
      </c>
      <c r="E127" s="7">
        <f t="shared" ref="E127:L127" si="71">E13/$P$125</f>
        <v>88.090240000000151</v>
      </c>
      <c r="F127" s="7">
        <f t="shared" si="71"/>
        <v>93.375654400000101</v>
      </c>
      <c r="G127" s="7">
        <f t="shared" si="71"/>
        <v>98.978193663999988</v>
      </c>
      <c r="H127" s="7">
        <f t="shared" si="71"/>
        <v>104.91688528384014</v>
      </c>
      <c r="I127" s="7">
        <f t="shared" si="71"/>
        <v>111.21189840087051</v>
      </c>
      <c r="J127" s="7">
        <f t="shared" si="71"/>
        <v>117.88461230492273</v>
      </c>
      <c r="K127" s="7">
        <f t="shared" si="71"/>
        <v>124.95768904321812</v>
      </c>
      <c r="L127" s="7">
        <f t="shared" si="71"/>
        <v>132.45515038581118</v>
      </c>
    </row>
    <row r="128" spans="1:17" x14ac:dyDescent="0.3">
      <c r="A128" s="10" t="str">
        <f>IF(Inputs!$J$5&gt;1,"Pre-Pri Year 2","")</f>
        <v>Pre-Pri Year 2</v>
      </c>
      <c r="B128" s="16" t="str">
        <f>IF(Inputs!$J$5&gt;1,"Female","")</f>
        <v>Female</v>
      </c>
      <c r="C128" s="57">
        <f>Inputs!R71</f>
        <v>398</v>
      </c>
      <c r="D128" s="7">
        <f t="shared" ref="D128:L128" si="72">D14/$P$125</f>
        <v>0</v>
      </c>
      <c r="E128" s="7">
        <f t="shared" si="72"/>
        <v>46.887400000000099</v>
      </c>
      <c r="F128" s="7">
        <f t="shared" si="72"/>
        <v>93.828087733333334</v>
      </c>
      <c r="G128" s="7">
        <f t="shared" si="72"/>
        <v>101.53452088266688</v>
      </c>
      <c r="H128" s="7">
        <f t="shared" si="72"/>
        <v>108.43527064160007</v>
      </c>
      <c r="I128" s="7">
        <f t="shared" si="72"/>
        <v>131.49582955574613</v>
      </c>
      <c r="J128" s="7">
        <f t="shared" si="72"/>
        <v>141.60981729710838</v>
      </c>
      <c r="K128" s="7">
        <f t="shared" si="72"/>
        <v>152.46409858103337</v>
      </c>
      <c r="L128" s="7">
        <f t="shared" si="72"/>
        <v>164.11109827675972</v>
      </c>
    </row>
    <row r="129" spans="1:17" x14ac:dyDescent="0.3">
      <c r="A129" s="10" t="str">
        <f>IF(Inputs!$J$5=3,"Pre-Pri Year 3","")</f>
        <v>Pre-Pri Year 3</v>
      </c>
      <c r="B129" s="16" t="str">
        <f>IF(Inputs!$J$5=3,"Female","")</f>
        <v>Female</v>
      </c>
      <c r="C129" s="57">
        <f>Inputs!R72</f>
        <v>726</v>
      </c>
      <c r="D129" s="7">
        <f t="shared" ref="D129:L129" si="73">D15/$P$125</f>
        <v>0</v>
      </c>
      <c r="E129" s="7">
        <f t="shared" si="73"/>
        <v>0</v>
      </c>
      <c r="F129" s="7">
        <f t="shared" si="73"/>
        <v>21.320024399999966</v>
      </c>
      <c r="G129" s="7">
        <f t="shared" si="73"/>
        <v>98.969336648000166</v>
      </c>
      <c r="H129" s="7">
        <f t="shared" si="73"/>
        <v>110.16247128920028</v>
      </c>
      <c r="I129" s="7">
        <f t="shared" si="73"/>
        <v>118.73117016494386</v>
      </c>
      <c r="J129" s="7">
        <f t="shared" si="73"/>
        <v>157.71106195866815</v>
      </c>
      <c r="K129" s="7">
        <f t="shared" si="73"/>
        <v>172.88260312743321</v>
      </c>
      <c r="L129" s="7">
        <f t="shared" si="73"/>
        <v>189.40127710324256</v>
      </c>
    </row>
    <row r="130" spans="1:17" x14ac:dyDescent="0.3">
      <c r="A130" s="10" t="str">
        <f>IF(Inputs!$J$5&gt;1,"Pre-Pri Year 1","Pre-Pri Year")</f>
        <v>Pre-Pri Year 1</v>
      </c>
      <c r="B130" s="16" t="str">
        <f>IF(Inputs!$J$5&gt;1,"Total","Total")</f>
        <v>Total</v>
      </c>
      <c r="C130" s="57">
        <f>C124+C127</f>
        <v>1401</v>
      </c>
      <c r="D130" s="19">
        <f>D124+D127</f>
        <v>279.95400000000035</v>
      </c>
      <c r="E130" s="19">
        <f t="shared" ref="E130:L130" si="74">E124+E127</f>
        <v>196.35774000000021</v>
      </c>
      <c r="F130" s="19">
        <f t="shared" si="74"/>
        <v>207.05652940000024</v>
      </c>
      <c r="G130" s="19">
        <f t="shared" si="74"/>
        <v>218.34311241400016</v>
      </c>
      <c r="H130" s="19">
        <f t="shared" si="74"/>
        <v>230.25004997134045</v>
      </c>
      <c r="I130" s="19">
        <f t="shared" si="74"/>
        <v>242.81172132274588</v>
      </c>
      <c r="J130" s="19">
        <f t="shared" si="74"/>
        <v>256.06442637289172</v>
      </c>
      <c r="K130" s="19">
        <f t="shared" si="74"/>
        <v>270.04649381458557</v>
      </c>
      <c r="L130" s="19">
        <f t="shared" si="74"/>
        <v>284.79839539574698</v>
      </c>
    </row>
    <row r="131" spans="1:17" x14ac:dyDescent="0.3">
      <c r="A131" s="10" t="str">
        <f>IF(Inputs!$J$5&gt;1,"Pre-Pri Year 2","")</f>
        <v>Pre-Pri Year 2</v>
      </c>
      <c r="B131" s="16" t="str">
        <f>IF(Inputs!$J$5&gt;1,"Male","")</f>
        <v>Male</v>
      </c>
      <c r="C131" s="57">
        <f t="shared" ref="C131:L131" si="75">C125+C128</f>
        <v>854</v>
      </c>
      <c r="D131" s="19">
        <f t="shared" si="75"/>
        <v>0</v>
      </c>
      <c r="E131" s="19">
        <f t="shared" si="75"/>
        <v>189.26784000000043</v>
      </c>
      <c r="F131" s="19">
        <f t="shared" si="75"/>
        <v>225.37803853333367</v>
      </c>
      <c r="G131" s="19">
        <f t="shared" si="75"/>
        <v>238.89803853066695</v>
      </c>
      <c r="H131" s="19">
        <f t="shared" si="75"/>
        <v>253.34870374099989</v>
      </c>
      <c r="I131" s="19">
        <f t="shared" si="75"/>
        <v>284.46810177024281</v>
      </c>
      <c r="J131" s="19">
        <f t="shared" si="75"/>
        <v>303.08023768025714</v>
      </c>
      <c r="K131" s="19">
        <f t="shared" si="75"/>
        <v>322.88902054623372</v>
      </c>
      <c r="L131" s="19">
        <f t="shared" si="75"/>
        <v>283.03322192632862</v>
      </c>
    </row>
    <row r="132" spans="1:17" x14ac:dyDescent="0.3">
      <c r="A132" s="10" t="str">
        <f>IF(Inputs!$J$5=3,"Pre-Pri Year 3","")</f>
        <v>Pre-Pri Year 3</v>
      </c>
      <c r="B132" s="16" t="str">
        <f>IF(Inputs!$J$5=3,"Male","")</f>
        <v>Male</v>
      </c>
      <c r="C132" s="57">
        <f t="shared" ref="C132:L132" si="76">C126+C129</f>
        <v>1578</v>
      </c>
      <c r="D132" s="19">
        <f t="shared" si="76"/>
        <v>0</v>
      </c>
      <c r="E132" s="19">
        <f t="shared" si="76"/>
        <v>0</v>
      </c>
      <c r="F132" s="19">
        <f t="shared" si="76"/>
        <v>140.17587620000023</v>
      </c>
      <c r="G132" s="19">
        <f t="shared" si="76"/>
        <v>249.87002787200061</v>
      </c>
      <c r="H132" s="19">
        <f t="shared" si="76"/>
        <v>270.49041286600038</v>
      </c>
      <c r="I132" s="19">
        <f t="shared" si="76"/>
        <v>289.12310077261134</v>
      </c>
      <c r="J132" s="19">
        <f t="shared" si="76"/>
        <v>338.85245006418188</v>
      </c>
      <c r="K132" s="19">
        <f t="shared" si="76"/>
        <v>309.66129395849714</v>
      </c>
      <c r="L132" s="19">
        <f t="shared" si="76"/>
        <v>359.82619906844286</v>
      </c>
    </row>
    <row r="133" spans="1:17" x14ac:dyDescent="0.3">
      <c r="A133" s="10" t="s">
        <v>73</v>
      </c>
      <c r="B133" s="16" t="s">
        <v>13</v>
      </c>
      <c r="C133" s="57">
        <f>C124+C125+C126</f>
        <v>2064</v>
      </c>
      <c r="D133" s="29">
        <f>D124+D125+D126</f>
        <v>196.85000000000025</v>
      </c>
      <c r="E133" s="29">
        <f t="shared" ref="E133:L133" si="77">E124+E125+E126</f>
        <v>250.6479400000004</v>
      </c>
      <c r="F133" s="29">
        <f t="shared" si="77"/>
        <v>364.08667760000071</v>
      </c>
      <c r="G133" s="29">
        <f t="shared" si="77"/>
        <v>407.62912762200074</v>
      </c>
      <c r="H133" s="29">
        <f t="shared" si="77"/>
        <v>430.57453936370024</v>
      </c>
      <c r="I133" s="29">
        <f t="shared" si="77"/>
        <v>454.96402574403953</v>
      </c>
      <c r="J133" s="29">
        <f t="shared" si="77"/>
        <v>480.79162255663152</v>
      </c>
      <c r="K133" s="29">
        <f t="shared" si="77"/>
        <v>452.29241756763179</v>
      </c>
      <c r="L133" s="29">
        <f t="shared" si="77"/>
        <v>441.69029062470509</v>
      </c>
    </row>
    <row r="134" spans="1:17" x14ac:dyDescent="0.3">
      <c r="A134" s="10" t="s">
        <v>73</v>
      </c>
      <c r="B134" s="16" t="s">
        <v>14</v>
      </c>
      <c r="C134" s="57">
        <f>C127+C128+C129</f>
        <v>1769</v>
      </c>
      <c r="D134" s="29">
        <f>D127+D128+D129</f>
        <v>83.104000000000084</v>
      </c>
      <c r="E134" s="29">
        <f t="shared" ref="E134:L134" si="78">E127+E128+E129</f>
        <v>134.97764000000024</v>
      </c>
      <c r="F134" s="29">
        <f t="shared" si="78"/>
        <v>208.5237665333334</v>
      </c>
      <c r="G134" s="29">
        <f t="shared" si="78"/>
        <v>299.48205119466706</v>
      </c>
      <c r="H134" s="29">
        <f t="shared" si="78"/>
        <v>323.51462721464054</v>
      </c>
      <c r="I134" s="29">
        <f t="shared" si="78"/>
        <v>361.4388981215605</v>
      </c>
      <c r="J134" s="29">
        <f t="shared" si="78"/>
        <v>417.20549156069927</v>
      </c>
      <c r="K134" s="29">
        <f t="shared" si="78"/>
        <v>450.30439075168465</v>
      </c>
      <c r="L134" s="29">
        <f t="shared" si="78"/>
        <v>485.96752576581343</v>
      </c>
    </row>
    <row r="135" spans="1:17" x14ac:dyDescent="0.3">
      <c r="A135" s="10" t="s">
        <v>73</v>
      </c>
      <c r="B135" s="16" t="s">
        <v>18</v>
      </c>
      <c r="C135" s="57">
        <f>C130+C131+C132</f>
        <v>3833</v>
      </c>
      <c r="D135" s="29">
        <f>D130+D131+D132</f>
        <v>279.95400000000035</v>
      </c>
      <c r="E135" s="29">
        <f t="shared" ref="E135:L135" si="79">E130+E131+E132</f>
        <v>385.62558000000064</v>
      </c>
      <c r="F135" s="29">
        <f t="shared" si="79"/>
        <v>572.61044413333411</v>
      </c>
      <c r="G135" s="29">
        <f t="shared" si="79"/>
        <v>707.11117881666769</v>
      </c>
      <c r="H135" s="29">
        <f t="shared" si="79"/>
        <v>754.08916657834072</v>
      </c>
      <c r="I135" s="29">
        <f t="shared" si="79"/>
        <v>816.40292386559997</v>
      </c>
      <c r="J135" s="29">
        <f t="shared" si="79"/>
        <v>897.99711411733074</v>
      </c>
      <c r="K135" s="29">
        <f t="shared" si="79"/>
        <v>902.59680831931644</v>
      </c>
      <c r="L135" s="29">
        <f t="shared" si="79"/>
        <v>927.65781639051841</v>
      </c>
    </row>
    <row r="137" spans="1:17" x14ac:dyDescent="0.3">
      <c r="A137" s="3" t="str">
        <f>"Existing "&amp;Semantics!B10&amp;"s Gap - Public"</f>
        <v>Existing Reading Corners Gap - Public</v>
      </c>
      <c r="B137" s="3"/>
    </row>
    <row r="138" spans="1:17" x14ac:dyDescent="0.3">
      <c r="C138" s="28" t="s">
        <v>77</v>
      </c>
    </row>
    <row r="139" spans="1:17" x14ac:dyDescent="0.3">
      <c r="A139" s="10" t="s">
        <v>124</v>
      </c>
      <c r="B139" s="10" t="s">
        <v>74</v>
      </c>
      <c r="C139" s="10">
        <f>Inputs!$F$5</f>
        <v>2021</v>
      </c>
      <c r="D139" s="10">
        <f>C139+1</f>
        <v>2022</v>
      </c>
      <c r="E139" s="10">
        <f t="shared" ref="E139:L139" si="80">D139+1</f>
        <v>2023</v>
      </c>
      <c r="F139" s="10">
        <f t="shared" si="80"/>
        <v>2024</v>
      </c>
      <c r="G139" s="10">
        <f t="shared" si="80"/>
        <v>2025</v>
      </c>
      <c r="H139" s="10">
        <f t="shared" si="80"/>
        <v>2026</v>
      </c>
      <c r="I139" s="10">
        <f t="shared" si="80"/>
        <v>2027</v>
      </c>
      <c r="J139" s="10">
        <f t="shared" si="80"/>
        <v>2028</v>
      </c>
      <c r="K139" s="10">
        <f t="shared" si="80"/>
        <v>2029</v>
      </c>
      <c r="L139" s="10">
        <f t="shared" si="80"/>
        <v>2030</v>
      </c>
      <c r="N139" s="13" t="s">
        <v>52</v>
      </c>
    </row>
    <row r="140" spans="1:17" x14ac:dyDescent="0.3">
      <c r="A140" s="10" t="str">
        <f>IF(Inputs!$J$5&gt;1,"Pre-Pri Year 1","Pre-Pri Year")</f>
        <v>Pre-Pri Year 1</v>
      </c>
      <c r="B140" s="16" t="str">
        <f>IF(Inputs!$J$5&gt;1,"Male","Male")</f>
        <v>Male</v>
      </c>
      <c r="C140" s="57">
        <f>Inputs!S67</f>
        <v>255</v>
      </c>
      <c r="D140" s="7">
        <f>IF($P$140&gt;0,$C$140/$P$140,"0")</f>
        <v>51</v>
      </c>
      <c r="E140" s="7">
        <f>IF($P$140&gt;1,$C$140/$P$140,"0")</f>
        <v>51</v>
      </c>
      <c r="F140" s="7">
        <f>IF($P$140&gt;2,$C$140/$P$140,"0")</f>
        <v>51</v>
      </c>
      <c r="G140" s="7">
        <f>IF($P$140&gt;3,$C$140/$P$140,"0")</f>
        <v>51</v>
      </c>
      <c r="H140" s="7">
        <f>IF($P$140&gt;4,$C$140/$P$140,"0")</f>
        <v>51</v>
      </c>
      <c r="I140" s="7" t="str">
        <f>IF($P$140&gt;5,$C$140/$P$140,"0")</f>
        <v>0</v>
      </c>
      <c r="J140" s="7" t="str">
        <f>IF($P$140&gt;6,$C$140/$P$140,"0")</f>
        <v>0</v>
      </c>
      <c r="K140" s="7" t="str">
        <f>IF($P$140&gt;7,$C$140/$P$140,"0")</f>
        <v>0</v>
      </c>
      <c r="L140" s="7" t="str">
        <f>IF($P$140&gt;8,$C$140/$P$140,"0")</f>
        <v>0</v>
      </c>
      <c r="N140" t="s">
        <v>13</v>
      </c>
      <c r="O140" t="s">
        <v>54</v>
      </c>
      <c r="P140" s="85">
        <f>'Policy Decisions'!K69</f>
        <v>5</v>
      </c>
      <c r="Q140" t="s">
        <v>24</v>
      </c>
    </row>
    <row r="141" spans="1:17" x14ac:dyDescent="0.3">
      <c r="A141" s="10" t="str">
        <f>IF(Inputs!$J$5&gt;1,"Pre-Pri Year 2","")</f>
        <v>Pre-Pri Year 2</v>
      </c>
      <c r="B141" s="16" t="str">
        <f>IF(Inputs!$J$5&gt;1,"Male","")</f>
        <v>Male</v>
      </c>
      <c r="C141" s="57">
        <f>Inputs!S68</f>
        <v>215</v>
      </c>
      <c r="D141" s="7">
        <f>IF($P$142&gt;0,$C$141/$P$142,"0")</f>
        <v>43</v>
      </c>
      <c r="E141" s="7">
        <f>IF($P$142&gt;1,$C$141/$P$142,"0")</f>
        <v>43</v>
      </c>
      <c r="F141" s="7">
        <f>IF($P$142&gt;2,$C$141/$P$142,"0")</f>
        <v>43</v>
      </c>
      <c r="G141" s="7">
        <f>IF($P$142&gt;3,$C$141/$P$142,"0")</f>
        <v>43</v>
      </c>
      <c r="H141" s="7">
        <f>IF($P$142&gt;4,$C$141/$P$142,"0")</f>
        <v>43</v>
      </c>
      <c r="I141" s="7" t="str">
        <f>IF($P$142&gt;5,$C$141/$P$142,"0")</f>
        <v>0</v>
      </c>
      <c r="J141" s="7" t="str">
        <f>IF($P$142&gt;6,$C$141/$P$142,"0")</f>
        <v>0</v>
      </c>
      <c r="K141" s="7" t="str">
        <f>IF($P$142&gt;7,$C$141/$P$142,"0")</f>
        <v>0</v>
      </c>
      <c r="L141" s="7" t="str">
        <f>IF($P$142&gt;8,$C$141/$P$142,"0")</f>
        <v>0</v>
      </c>
      <c r="N141" t="s">
        <v>14</v>
      </c>
      <c r="O141" t="s">
        <v>54</v>
      </c>
      <c r="P141" s="85">
        <f>'Policy Decisions'!K70</f>
        <v>5</v>
      </c>
      <c r="Q141" t="s">
        <v>24</v>
      </c>
    </row>
    <row r="142" spans="1:17" x14ac:dyDescent="0.3">
      <c r="A142" s="10" t="str">
        <f>IF(Inputs!$J$5=3,"Pre-Pri Year 3","")</f>
        <v>Pre-Pri Year 3</v>
      </c>
      <c r="B142" s="16" t="str">
        <f>IF(Inputs!$J$5=3,"Male","")</f>
        <v>Male</v>
      </c>
      <c r="C142" s="57">
        <f>Inputs!S69</f>
        <v>145</v>
      </c>
      <c r="D142" s="7">
        <f>IF($P$144&gt;0,$C$142/$P$144,"0")</f>
        <v>29</v>
      </c>
      <c r="E142" s="7">
        <f>IF($P$144&gt;1,$C$142/$P$144,"0")</f>
        <v>29</v>
      </c>
      <c r="F142" s="7">
        <f>IF($P$144&gt;2,$C$142/$P$144,"0")</f>
        <v>29</v>
      </c>
      <c r="G142" s="7">
        <f>IF($P$144&gt;3,$C$142/$P$144,"0")</f>
        <v>29</v>
      </c>
      <c r="H142" s="7">
        <f>IF($P$144&gt;4,$C$142/$P$144,"0")</f>
        <v>29</v>
      </c>
      <c r="I142" s="7" t="str">
        <f>IF($P$144&gt;5,$C$142/$P$144,"0")</f>
        <v>0</v>
      </c>
      <c r="J142" s="7" t="str">
        <f>IF($P$144&gt;6,$C$142/$P$144,"0")</f>
        <v>0</v>
      </c>
      <c r="K142" s="7" t="str">
        <f>IF($P$144&gt;7,$C$142/$P$144,"0")</f>
        <v>0</v>
      </c>
      <c r="L142" s="7" t="str">
        <f>IF($P$144&gt;8,$C$142/$P$144,"0")</f>
        <v>0</v>
      </c>
      <c r="N142" t="s">
        <v>13</v>
      </c>
      <c r="O142" t="s">
        <v>54</v>
      </c>
      <c r="P142" s="85">
        <f>'Policy Decisions'!K71</f>
        <v>5</v>
      </c>
      <c r="Q142" t="s">
        <v>25</v>
      </c>
    </row>
    <row r="143" spans="1:17" x14ac:dyDescent="0.3">
      <c r="A143" s="10" t="str">
        <f>IF(Inputs!$J$5&gt;1,"Pre-Pri Year 1","Pre-Pri Year")</f>
        <v>Pre-Pri Year 1</v>
      </c>
      <c r="B143" s="16" t="str">
        <f>IF(Inputs!$J$5&gt;1,"Female","Female")</f>
        <v>Female</v>
      </c>
      <c r="C143" s="57">
        <f>Inputs!S70</f>
        <v>458</v>
      </c>
      <c r="D143" s="7">
        <f>IF($P$141&gt;0,$C$143/$P$141,"0")</f>
        <v>91.6</v>
      </c>
      <c r="E143" s="7">
        <f>IF($P$141&gt;1,$C$143/$P$141,"0")</f>
        <v>91.6</v>
      </c>
      <c r="F143" s="7">
        <f>IF($P$141&gt;2,$C$143/$P$141,"0")</f>
        <v>91.6</v>
      </c>
      <c r="G143" s="7">
        <f>IF($P$141&gt;3,$C$143/$P$141,"0")</f>
        <v>91.6</v>
      </c>
      <c r="H143" s="7">
        <f>IF($P$141&gt;4,$C$143/$P$141,"0")</f>
        <v>91.6</v>
      </c>
      <c r="I143" s="7" t="str">
        <f>IF($P$141&gt;5,$C$143/$P$141,"0")</f>
        <v>0</v>
      </c>
      <c r="J143" s="7" t="str">
        <f>IF($P$141&gt;6,$C$143/$P$141,"0")</f>
        <v>0</v>
      </c>
      <c r="K143" s="7" t="str">
        <f>IF($P$141&gt;7,$C$143/$P$141,"0")</f>
        <v>0</v>
      </c>
      <c r="L143" s="7" t="str">
        <f>IF($P$141&gt;8,$C$143/$P$141,"0")</f>
        <v>0</v>
      </c>
      <c r="N143" t="s">
        <v>14</v>
      </c>
      <c r="O143" t="s">
        <v>54</v>
      </c>
      <c r="P143" s="85">
        <f>'Policy Decisions'!K72</f>
        <v>5</v>
      </c>
      <c r="Q143" t="s">
        <v>25</v>
      </c>
    </row>
    <row r="144" spans="1:17" x14ac:dyDescent="0.3">
      <c r="A144" s="10" t="str">
        <f>IF(Inputs!$J$5&gt;1,"Pre-Pri Year 2","")</f>
        <v>Pre-Pri Year 2</v>
      </c>
      <c r="B144" s="16" t="str">
        <f>IF(Inputs!$J$5&gt;1,"Female","")</f>
        <v>Female</v>
      </c>
      <c r="C144" s="57">
        <f>Inputs!S71</f>
        <v>412</v>
      </c>
      <c r="D144" s="7">
        <f>IF($P$143&gt;0,$C$144/$P$143,"0")</f>
        <v>82.4</v>
      </c>
      <c r="E144" s="7">
        <f>IF($P$143&gt;1,$C$144/$P$143,"0")</f>
        <v>82.4</v>
      </c>
      <c r="F144" s="7">
        <f>IF($P$143&gt;2,$C$144/$P$143,"0")</f>
        <v>82.4</v>
      </c>
      <c r="G144" s="7">
        <f>IF($P$143&gt;3,$C$144/$P$143,"0")</f>
        <v>82.4</v>
      </c>
      <c r="H144" s="7">
        <f>IF($P$143&gt;4,$C$144/$P$143,"0")</f>
        <v>82.4</v>
      </c>
      <c r="I144" s="7" t="str">
        <f>IF($P$143&gt;5,$C$144/$P$143,"0")</f>
        <v>0</v>
      </c>
      <c r="J144" s="7" t="str">
        <f>IF($P$143&gt;6,$C$144/$P$143,"0")</f>
        <v>0</v>
      </c>
      <c r="K144" s="7" t="str">
        <f>IF($P$143&gt;7,$C$144/$P$143,"0")</f>
        <v>0</v>
      </c>
      <c r="L144" s="7" t="str">
        <f>IF($P$143&gt;8,$C$144/$P$143,"0")</f>
        <v>0</v>
      </c>
      <c r="N144" t="s">
        <v>13</v>
      </c>
      <c r="O144" t="s">
        <v>54</v>
      </c>
      <c r="P144" s="85">
        <f>'Policy Decisions'!K73</f>
        <v>5</v>
      </c>
      <c r="Q144" t="s">
        <v>26</v>
      </c>
    </row>
    <row r="145" spans="1:17" x14ac:dyDescent="0.3">
      <c r="A145" s="10" t="str">
        <f>IF(Inputs!$J$5=3,"Pre-Pri Year 3","")</f>
        <v>Pre-Pri Year 3</v>
      </c>
      <c r="B145" s="16" t="str">
        <f>IF(Inputs!$J$5=3,"Female","")</f>
        <v>Female</v>
      </c>
      <c r="C145" s="57">
        <f>Inputs!S72</f>
        <v>215</v>
      </c>
      <c r="D145" s="7">
        <f>IF($P$145&gt;0,$C$145/$P$145,"0")</f>
        <v>43</v>
      </c>
      <c r="E145" s="7">
        <f>IF($P$145&gt;1,$C$145/$P$145,"0")</f>
        <v>43</v>
      </c>
      <c r="F145" s="7">
        <f>IF($P$145&gt;2,$C$145/$P$145,"0")</f>
        <v>43</v>
      </c>
      <c r="G145" s="7">
        <f>IF($P$145&gt;3,$C$145/$P$145,"0")</f>
        <v>43</v>
      </c>
      <c r="H145" s="7">
        <f>IF($P$145&gt;4,$C$145/$P$145,"0")</f>
        <v>43</v>
      </c>
      <c r="I145" s="7" t="str">
        <f>IF($P$145&gt;5,$C$145/$P$145,"0")</f>
        <v>0</v>
      </c>
      <c r="J145" s="7" t="str">
        <f>IF($P$145&gt;6,$C$145/$P$145,"0")</f>
        <v>0</v>
      </c>
      <c r="K145" s="7" t="str">
        <f>IF($P$145&gt;7,$C$145/$P$145,"0")</f>
        <v>0</v>
      </c>
      <c r="L145" s="7" t="str">
        <f>IF($P$145&gt;8,$C$145/$P$145,"0")</f>
        <v>0</v>
      </c>
      <c r="N145" t="s">
        <v>14</v>
      </c>
      <c r="O145" t="s">
        <v>54</v>
      </c>
      <c r="P145" s="85">
        <f>'Policy Decisions'!K74</f>
        <v>5</v>
      </c>
      <c r="Q145" t="s">
        <v>26</v>
      </c>
    </row>
    <row r="146" spans="1:17" x14ac:dyDescent="0.3">
      <c r="A146" s="10" t="str">
        <f>IF(Inputs!$J$5&gt;1,"Pre-Pri Year 1","Pre-Pri Year")</f>
        <v>Pre-Pri Year 1</v>
      </c>
      <c r="B146" s="16" t="str">
        <f>IF(Inputs!$J$5&gt;1,"Total","Total")</f>
        <v>Total</v>
      </c>
      <c r="C146" s="57">
        <f>C140+C143</f>
        <v>713</v>
      </c>
      <c r="D146" s="19">
        <f>D140+D143</f>
        <v>142.6</v>
      </c>
      <c r="E146" s="19">
        <f t="shared" ref="E146:J146" si="81">E140+E143</f>
        <v>142.6</v>
      </c>
      <c r="F146" s="19">
        <f t="shared" si="81"/>
        <v>142.6</v>
      </c>
      <c r="G146" s="19">
        <f t="shared" si="81"/>
        <v>142.6</v>
      </c>
      <c r="H146" s="19">
        <f t="shared" si="81"/>
        <v>142.6</v>
      </c>
      <c r="I146" s="19">
        <f t="shared" si="81"/>
        <v>0</v>
      </c>
      <c r="J146" s="19">
        <f t="shared" si="81"/>
        <v>0</v>
      </c>
      <c r="K146" s="19">
        <f>K140+K143</f>
        <v>0</v>
      </c>
      <c r="L146" s="19">
        <f t="shared" ref="L146" si="82">L140+L143</f>
        <v>0</v>
      </c>
    </row>
    <row r="147" spans="1:17" x14ac:dyDescent="0.3">
      <c r="A147" s="10" t="str">
        <f>IF(Inputs!$J$5&gt;1,"Pre-Pri Year 2","")</f>
        <v>Pre-Pri Year 2</v>
      </c>
      <c r="B147" s="16" t="str">
        <f>IF(Inputs!$J$5&gt;1,"Male","")</f>
        <v>Male</v>
      </c>
      <c r="C147" s="57">
        <f t="shared" ref="C147:J147" si="83">C141+C144</f>
        <v>627</v>
      </c>
      <c r="D147" s="19">
        <f t="shared" si="83"/>
        <v>125.4</v>
      </c>
      <c r="E147" s="19">
        <f t="shared" si="83"/>
        <v>125.4</v>
      </c>
      <c r="F147" s="19">
        <f t="shared" si="83"/>
        <v>125.4</v>
      </c>
      <c r="G147" s="19">
        <f t="shared" si="83"/>
        <v>125.4</v>
      </c>
      <c r="H147" s="19">
        <f t="shared" si="83"/>
        <v>125.4</v>
      </c>
      <c r="I147" s="19">
        <f t="shared" si="83"/>
        <v>0</v>
      </c>
      <c r="J147" s="19">
        <f t="shared" si="83"/>
        <v>0</v>
      </c>
      <c r="K147" s="19">
        <f>K141+K144</f>
        <v>0</v>
      </c>
      <c r="L147" s="19">
        <f t="shared" ref="L147" si="84">L141+L144</f>
        <v>0</v>
      </c>
    </row>
    <row r="148" spans="1:17" x14ac:dyDescent="0.3">
      <c r="A148" s="10" t="str">
        <f>IF(Inputs!$J$5=3,"Pre-Pri Year 3","")</f>
        <v>Pre-Pri Year 3</v>
      </c>
      <c r="B148" s="16" t="str">
        <f>IF(Inputs!$J$5=3,"Male","")</f>
        <v>Male</v>
      </c>
      <c r="C148" s="57">
        <f t="shared" ref="C148:L148" si="85">C142+C145</f>
        <v>360</v>
      </c>
      <c r="D148" s="19">
        <f t="shared" si="85"/>
        <v>72</v>
      </c>
      <c r="E148" s="19">
        <f t="shared" si="85"/>
        <v>72</v>
      </c>
      <c r="F148" s="19">
        <f t="shared" si="85"/>
        <v>72</v>
      </c>
      <c r="G148" s="19">
        <f t="shared" si="85"/>
        <v>72</v>
      </c>
      <c r="H148" s="19">
        <f t="shared" si="85"/>
        <v>72</v>
      </c>
      <c r="I148" s="19">
        <f t="shared" si="85"/>
        <v>0</v>
      </c>
      <c r="J148" s="19">
        <f t="shared" si="85"/>
        <v>0</v>
      </c>
      <c r="K148" s="19">
        <f t="shared" si="85"/>
        <v>0</v>
      </c>
      <c r="L148" s="19">
        <f t="shared" si="85"/>
        <v>0</v>
      </c>
    </row>
    <row r="149" spans="1:17" x14ac:dyDescent="0.3">
      <c r="A149" s="10" t="s">
        <v>73</v>
      </c>
      <c r="B149" s="16" t="s">
        <v>13</v>
      </c>
      <c r="C149" s="57">
        <f>C140+C141+C142</f>
        <v>615</v>
      </c>
      <c r="D149" s="29">
        <f>D140+D141+D142</f>
        <v>123</v>
      </c>
      <c r="E149" s="29">
        <f t="shared" ref="E149:L149" si="86">E140+E141+E142</f>
        <v>123</v>
      </c>
      <c r="F149" s="29">
        <f t="shared" si="86"/>
        <v>123</v>
      </c>
      <c r="G149" s="29">
        <f t="shared" si="86"/>
        <v>123</v>
      </c>
      <c r="H149" s="29">
        <f t="shared" si="86"/>
        <v>123</v>
      </c>
      <c r="I149" s="29">
        <f t="shared" si="86"/>
        <v>0</v>
      </c>
      <c r="J149" s="29">
        <f t="shared" si="86"/>
        <v>0</v>
      </c>
      <c r="K149" s="29">
        <f t="shared" si="86"/>
        <v>0</v>
      </c>
      <c r="L149" s="29">
        <f t="shared" si="86"/>
        <v>0</v>
      </c>
    </row>
    <row r="150" spans="1:17" x14ac:dyDescent="0.3">
      <c r="A150" s="10" t="s">
        <v>73</v>
      </c>
      <c r="B150" s="16" t="s">
        <v>14</v>
      </c>
      <c r="C150" s="57">
        <f>C143+C144+C145</f>
        <v>1085</v>
      </c>
      <c r="D150" s="29">
        <f>D143+D144+D145</f>
        <v>217</v>
      </c>
      <c r="E150" s="29">
        <f t="shared" ref="E150:L150" si="87">E143+E144+E145</f>
        <v>217</v>
      </c>
      <c r="F150" s="29">
        <f t="shared" si="87"/>
        <v>217</v>
      </c>
      <c r="G150" s="29">
        <f t="shared" si="87"/>
        <v>217</v>
      </c>
      <c r="H150" s="29">
        <f t="shared" si="87"/>
        <v>217</v>
      </c>
      <c r="I150" s="29">
        <f t="shared" si="87"/>
        <v>0</v>
      </c>
      <c r="J150" s="29">
        <f t="shared" si="87"/>
        <v>0</v>
      </c>
      <c r="K150" s="29">
        <f t="shared" si="87"/>
        <v>0</v>
      </c>
      <c r="L150" s="29">
        <f t="shared" si="87"/>
        <v>0</v>
      </c>
    </row>
    <row r="151" spans="1:17" x14ac:dyDescent="0.3">
      <c r="A151" s="10" t="s">
        <v>73</v>
      </c>
      <c r="B151" s="16" t="s">
        <v>18</v>
      </c>
      <c r="C151" s="57">
        <f>C146+C147+C148</f>
        <v>1700</v>
      </c>
      <c r="D151" s="29">
        <f>D146+D147+D148</f>
        <v>340</v>
      </c>
      <c r="E151" s="29">
        <f t="shared" ref="E151:L151" si="88">E146+E147+E148</f>
        <v>340</v>
      </c>
      <c r="F151" s="29">
        <f t="shared" si="88"/>
        <v>340</v>
      </c>
      <c r="G151" s="29">
        <f t="shared" si="88"/>
        <v>340</v>
      </c>
      <c r="H151" s="29">
        <f t="shared" si="88"/>
        <v>340</v>
      </c>
      <c r="I151" s="29">
        <f t="shared" si="88"/>
        <v>0</v>
      </c>
      <c r="J151" s="29">
        <f t="shared" si="88"/>
        <v>0</v>
      </c>
      <c r="K151" s="29">
        <f t="shared" si="88"/>
        <v>0</v>
      </c>
      <c r="L151" s="29">
        <f t="shared" si="88"/>
        <v>0</v>
      </c>
    </row>
    <row r="153" spans="1:17" x14ac:dyDescent="0.3">
      <c r="A153" s="3" t="str">
        <f>"Total "&amp;Semantics!B10&amp;"s Required - Public"</f>
        <v>Total Reading Corners Required - Public</v>
      </c>
      <c r="B153" s="3"/>
    </row>
    <row r="155" spans="1:17" x14ac:dyDescent="0.3">
      <c r="A155" s="10" t="s">
        <v>124</v>
      </c>
      <c r="B155" s="10" t="s">
        <v>74</v>
      </c>
      <c r="C155" s="10">
        <f>Inputs!$F$5</f>
        <v>2021</v>
      </c>
      <c r="D155" s="10">
        <f>C155+1</f>
        <v>2022</v>
      </c>
      <c r="E155" s="10">
        <f t="shared" ref="E155:L155" si="89">D155+1</f>
        <v>2023</v>
      </c>
      <c r="F155" s="10">
        <f t="shared" si="89"/>
        <v>2024</v>
      </c>
      <c r="G155" s="10">
        <f t="shared" si="89"/>
        <v>2025</v>
      </c>
      <c r="H155" s="10">
        <f t="shared" si="89"/>
        <v>2026</v>
      </c>
      <c r="I155" s="10">
        <f t="shared" si="89"/>
        <v>2027</v>
      </c>
      <c r="J155" s="10">
        <f t="shared" si="89"/>
        <v>2028</v>
      </c>
      <c r="K155" s="10">
        <f t="shared" si="89"/>
        <v>2029</v>
      </c>
      <c r="L155" s="10">
        <f t="shared" si="89"/>
        <v>2030</v>
      </c>
    </row>
    <row r="156" spans="1:17" x14ac:dyDescent="0.3">
      <c r="A156" s="10" t="str">
        <f>IF(Inputs!$J$5&gt;1,"Pre-Pri Year 1","Pre-Pri Year")</f>
        <v>Pre-Pri Year 1</v>
      </c>
      <c r="B156" s="16" t="str">
        <f>IF(Inputs!$J$5&gt;1,"Male","Male")</f>
        <v>Male</v>
      </c>
      <c r="C156" s="57" t="s">
        <v>34</v>
      </c>
      <c r="D156" s="7">
        <f>D124+D140</f>
        <v>247.85000000000025</v>
      </c>
      <c r="E156" s="7">
        <f t="shared" ref="E156:L156" si="90">E124+E140</f>
        <v>159.26750000000004</v>
      </c>
      <c r="F156" s="7">
        <f t="shared" si="90"/>
        <v>164.68087500000013</v>
      </c>
      <c r="G156" s="7">
        <f t="shared" si="90"/>
        <v>170.36491875000019</v>
      </c>
      <c r="H156" s="7">
        <f t="shared" si="90"/>
        <v>176.3331646875003</v>
      </c>
      <c r="I156" s="7">
        <f t="shared" si="90"/>
        <v>131.59982292187536</v>
      </c>
      <c r="J156" s="7">
        <f t="shared" si="90"/>
        <v>138.17981406796898</v>
      </c>
      <c r="K156" s="7">
        <f t="shared" si="90"/>
        <v>145.08880477136748</v>
      </c>
      <c r="L156" s="7">
        <f t="shared" si="90"/>
        <v>152.34324500993583</v>
      </c>
    </row>
    <row r="157" spans="1:17" x14ac:dyDescent="0.3">
      <c r="A157" s="10" t="str">
        <f>IF(Inputs!$J$5&gt;1,"Pre-Pri Year 2","")</f>
        <v>Pre-Pri Year 2</v>
      </c>
      <c r="B157" s="16" t="str">
        <f>IF(Inputs!$J$5&gt;1,"Male","")</f>
        <v>Male</v>
      </c>
      <c r="C157" s="57" t="s">
        <v>34</v>
      </c>
      <c r="D157" s="7">
        <f t="shared" ref="D157:L157" si="91">D125+D141</f>
        <v>43</v>
      </c>
      <c r="E157" s="7">
        <f t="shared" si="91"/>
        <v>185.38044000000033</v>
      </c>
      <c r="F157" s="7">
        <f t="shared" si="91"/>
        <v>174.54995080000032</v>
      </c>
      <c r="G157" s="7">
        <f t="shared" si="91"/>
        <v>180.36351764800008</v>
      </c>
      <c r="H157" s="7">
        <f t="shared" si="91"/>
        <v>187.91343309939984</v>
      </c>
      <c r="I157" s="7">
        <f t="shared" si="91"/>
        <v>152.97227221449671</v>
      </c>
      <c r="J157" s="7">
        <f t="shared" si="91"/>
        <v>161.47042038314879</v>
      </c>
      <c r="K157" s="7">
        <f t="shared" si="91"/>
        <v>170.42492196520033</v>
      </c>
      <c r="L157" s="7">
        <f t="shared" si="91"/>
        <v>118.92212364956892</v>
      </c>
    </row>
    <row r="158" spans="1:17" x14ac:dyDescent="0.3">
      <c r="A158" s="10" t="str">
        <f>IF(Inputs!$J$5=3,"Pre-Pri Year 3","")</f>
        <v>Pre-Pri Year 3</v>
      </c>
      <c r="B158" s="16" t="str">
        <f>IF(Inputs!$J$5=3,"Male","")</f>
        <v>Male</v>
      </c>
      <c r="C158" s="57" t="s">
        <v>34</v>
      </c>
      <c r="D158" s="7">
        <f t="shared" ref="D158:L158" si="92">D126+D142</f>
        <v>29</v>
      </c>
      <c r="E158" s="7">
        <f t="shared" si="92"/>
        <v>29</v>
      </c>
      <c r="F158" s="7">
        <f t="shared" si="92"/>
        <v>147.85585180000027</v>
      </c>
      <c r="G158" s="7">
        <f t="shared" si="92"/>
        <v>179.90069122400044</v>
      </c>
      <c r="H158" s="7">
        <f t="shared" si="92"/>
        <v>189.32794157680013</v>
      </c>
      <c r="I158" s="7">
        <f t="shared" si="92"/>
        <v>170.39193060766749</v>
      </c>
      <c r="J158" s="7">
        <f t="shared" si="92"/>
        <v>181.14138810551376</v>
      </c>
      <c r="K158" s="7">
        <f t="shared" si="92"/>
        <v>136.77869083106393</v>
      </c>
      <c r="L158" s="7">
        <f t="shared" si="92"/>
        <v>170.42492196520033</v>
      </c>
    </row>
    <row r="159" spans="1:17" x14ac:dyDescent="0.3">
      <c r="A159" s="10" t="str">
        <f>IF(Inputs!$J$5&gt;1,"Pre-Pri Year 1","Pre-Pri Year")</f>
        <v>Pre-Pri Year 1</v>
      </c>
      <c r="B159" s="16" t="str">
        <f>IF(Inputs!$J$5&gt;1,"Female","Female")</f>
        <v>Female</v>
      </c>
      <c r="C159" s="57" t="s">
        <v>34</v>
      </c>
      <c r="D159" s="7">
        <f t="shared" ref="D159:L159" si="93">D127+D143</f>
        <v>174.70400000000006</v>
      </c>
      <c r="E159" s="7">
        <f t="shared" si="93"/>
        <v>179.69024000000013</v>
      </c>
      <c r="F159" s="7">
        <f t="shared" si="93"/>
        <v>184.97565440000011</v>
      </c>
      <c r="G159" s="7">
        <f t="shared" si="93"/>
        <v>190.57819366399997</v>
      </c>
      <c r="H159" s="7">
        <f t="shared" si="93"/>
        <v>196.51688528384014</v>
      </c>
      <c r="I159" s="7">
        <f t="shared" si="93"/>
        <v>111.21189840087051</v>
      </c>
      <c r="J159" s="7">
        <f t="shared" si="93"/>
        <v>117.88461230492273</v>
      </c>
      <c r="K159" s="7">
        <f t="shared" si="93"/>
        <v>124.95768904321812</v>
      </c>
      <c r="L159" s="7">
        <f t="shared" si="93"/>
        <v>132.45515038581118</v>
      </c>
    </row>
    <row r="160" spans="1:17" x14ac:dyDescent="0.3">
      <c r="A160" s="10" t="str">
        <f>IF(Inputs!$J$5&gt;1,"Pre-Pri Year 2","")</f>
        <v>Pre-Pri Year 2</v>
      </c>
      <c r="B160" s="16" t="str">
        <f>IF(Inputs!$J$5&gt;1,"Female","")</f>
        <v>Female</v>
      </c>
      <c r="C160" s="57" t="s">
        <v>34</v>
      </c>
      <c r="D160" s="7">
        <f t="shared" ref="D160:L160" si="94">D128+D144</f>
        <v>82.4</v>
      </c>
      <c r="E160" s="7">
        <f t="shared" si="94"/>
        <v>129.2874000000001</v>
      </c>
      <c r="F160" s="7">
        <f t="shared" si="94"/>
        <v>176.22808773333333</v>
      </c>
      <c r="G160" s="7">
        <f t="shared" si="94"/>
        <v>183.9345208826669</v>
      </c>
      <c r="H160" s="7">
        <f t="shared" si="94"/>
        <v>190.83527064160006</v>
      </c>
      <c r="I160" s="7">
        <f t="shared" si="94"/>
        <v>131.49582955574613</v>
      </c>
      <c r="J160" s="7">
        <f t="shared" si="94"/>
        <v>141.60981729710838</v>
      </c>
      <c r="K160" s="7">
        <f t="shared" si="94"/>
        <v>152.46409858103337</v>
      </c>
      <c r="L160" s="7">
        <f t="shared" si="94"/>
        <v>164.11109827675972</v>
      </c>
    </row>
    <row r="161" spans="1:17" x14ac:dyDescent="0.3">
      <c r="A161" s="10" t="str">
        <f>IF(Inputs!$J$5=3,"Pre-Pri Year 3","")</f>
        <v>Pre-Pri Year 3</v>
      </c>
      <c r="B161" s="16" t="str">
        <f>IF(Inputs!$J$5=3,"Female","")</f>
        <v>Female</v>
      </c>
      <c r="C161" s="57" t="s">
        <v>34</v>
      </c>
      <c r="D161" s="7">
        <f t="shared" ref="D161:L161" si="95">D129+D145</f>
        <v>43</v>
      </c>
      <c r="E161" s="7">
        <f t="shared" si="95"/>
        <v>43</v>
      </c>
      <c r="F161" s="7">
        <f t="shared" si="95"/>
        <v>64.320024399999966</v>
      </c>
      <c r="G161" s="7">
        <f t="shared" si="95"/>
        <v>141.96933664800017</v>
      </c>
      <c r="H161" s="7">
        <f t="shared" si="95"/>
        <v>153.16247128920028</v>
      </c>
      <c r="I161" s="7">
        <f t="shared" si="95"/>
        <v>118.73117016494386</v>
      </c>
      <c r="J161" s="7">
        <f t="shared" si="95"/>
        <v>157.71106195866815</v>
      </c>
      <c r="K161" s="7">
        <f t="shared" si="95"/>
        <v>172.88260312743321</v>
      </c>
      <c r="L161" s="7">
        <f t="shared" si="95"/>
        <v>189.40127710324256</v>
      </c>
    </row>
    <row r="162" spans="1:17" x14ac:dyDescent="0.3">
      <c r="A162" s="10" t="str">
        <f>IF(Inputs!$J$5&gt;1,"Pre-Pri Year 1","Pre-Pri Year")</f>
        <v>Pre-Pri Year 1</v>
      </c>
      <c r="B162" s="16" t="str">
        <f>IF(Inputs!$J$5&gt;1,"Total","Total")</f>
        <v>Total</v>
      </c>
      <c r="C162" s="57" t="s">
        <v>34</v>
      </c>
      <c r="D162" s="7">
        <f t="shared" ref="D162:L162" si="96">D130+D146</f>
        <v>422.55400000000031</v>
      </c>
      <c r="E162" s="7">
        <f t="shared" si="96"/>
        <v>338.95774000000017</v>
      </c>
      <c r="F162" s="7">
        <f t="shared" si="96"/>
        <v>349.65652940000024</v>
      </c>
      <c r="G162" s="7">
        <f t="shared" si="96"/>
        <v>360.94311241400015</v>
      </c>
      <c r="H162" s="7">
        <f t="shared" si="96"/>
        <v>372.85004997134047</v>
      </c>
      <c r="I162" s="7">
        <f t="shared" si="96"/>
        <v>242.81172132274588</v>
      </c>
      <c r="J162" s="7">
        <f t="shared" si="96"/>
        <v>256.06442637289172</v>
      </c>
      <c r="K162" s="7">
        <f t="shared" si="96"/>
        <v>270.04649381458557</v>
      </c>
      <c r="L162" s="7">
        <f t="shared" si="96"/>
        <v>284.79839539574698</v>
      </c>
    </row>
    <row r="163" spans="1:17" x14ac:dyDescent="0.3">
      <c r="A163" s="10" t="str">
        <f>IF(Inputs!$J$5&gt;1,"Pre-Pri Year 2","")</f>
        <v>Pre-Pri Year 2</v>
      </c>
      <c r="B163" s="16" t="str">
        <f>IF(Inputs!$J$5&gt;1,"Male","")</f>
        <v>Male</v>
      </c>
      <c r="C163" s="57" t="s">
        <v>34</v>
      </c>
      <c r="D163" s="7">
        <f t="shared" ref="D163:L163" si="97">D131+D147</f>
        <v>125.4</v>
      </c>
      <c r="E163" s="7">
        <f t="shared" si="97"/>
        <v>314.66784000000041</v>
      </c>
      <c r="F163" s="7">
        <f t="shared" si="97"/>
        <v>350.77803853333364</v>
      </c>
      <c r="G163" s="7">
        <f t="shared" si="97"/>
        <v>364.29803853066699</v>
      </c>
      <c r="H163" s="7">
        <f t="shared" si="97"/>
        <v>378.74870374099987</v>
      </c>
      <c r="I163" s="7">
        <f t="shared" si="97"/>
        <v>284.46810177024281</v>
      </c>
      <c r="J163" s="7">
        <f t="shared" si="97"/>
        <v>303.08023768025714</v>
      </c>
      <c r="K163" s="7">
        <f t="shared" si="97"/>
        <v>322.88902054623372</v>
      </c>
      <c r="L163" s="7">
        <f t="shared" si="97"/>
        <v>283.03322192632862</v>
      </c>
    </row>
    <row r="164" spans="1:17" x14ac:dyDescent="0.3">
      <c r="A164" s="10" t="str">
        <f>IF(Inputs!$J$5=3,"Pre-Pri Year 3","")</f>
        <v>Pre-Pri Year 3</v>
      </c>
      <c r="B164" s="16" t="str">
        <f>IF(Inputs!$J$5=3,"Male","")</f>
        <v>Male</v>
      </c>
      <c r="C164" s="57" t="s">
        <v>34</v>
      </c>
      <c r="D164" s="7">
        <f t="shared" ref="D164:L164" si="98">D132+D148</f>
        <v>72</v>
      </c>
      <c r="E164" s="7">
        <f t="shared" si="98"/>
        <v>72</v>
      </c>
      <c r="F164" s="7">
        <f t="shared" si="98"/>
        <v>212.17587620000023</v>
      </c>
      <c r="G164" s="7">
        <f t="shared" si="98"/>
        <v>321.87002787200061</v>
      </c>
      <c r="H164" s="7">
        <f t="shared" si="98"/>
        <v>342.49041286600038</v>
      </c>
      <c r="I164" s="7">
        <f t="shared" si="98"/>
        <v>289.12310077261134</v>
      </c>
      <c r="J164" s="7">
        <f t="shared" si="98"/>
        <v>338.85245006418188</v>
      </c>
      <c r="K164" s="7">
        <f t="shared" si="98"/>
        <v>309.66129395849714</v>
      </c>
      <c r="L164" s="7">
        <f t="shared" si="98"/>
        <v>359.82619906844286</v>
      </c>
    </row>
    <row r="165" spans="1:17" x14ac:dyDescent="0.3">
      <c r="A165" s="10" t="s">
        <v>73</v>
      </c>
      <c r="B165" s="16" t="s">
        <v>13</v>
      </c>
      <c r="C165" s="57" t="s">
        <v>34</v>
      </c>
      <c r="D165" s="29">
        <f t="shared" ref="D165:L165" si="99">D133+D149</f>
        <v>319.85000000000025</v>
      </c>
      <c r="E165" s="29">
        <f t="shared" si="99"/>
        <v>373.6479400000004</v>
      </c>
      <c r="F165" s="29">
        <f t="shared" si="99"/>
        <v>487.08667760000071</v>
      </c>
      <c r="G165" s="29">
        <f t="shared" si="99"/>
        <v>530.62912762200074</v>
      </c>
      <c r="H165" s="29">
        <f t="shared" si="99"/>
        <v>553.5745393637003</v>
      </c>
      <c r="I165" s="29">
        <f t="shared" si="99"/>
        <v>454.96402574403953</v>
      </c>
      <c r="J165" s="29">
        <f t="shared" si="99"/>
        <v>480.79162255663152</v>
      </c>
      <c r="K165" s="29">
        <f t="shared" si="99"/>
        <v>452.29241756763179</v>
      </c>
      <c r="L165" s="29">
        <f t="shared" si="99"/>
        <v>441.69029062470509</v>
      </c>
    </row>
    <row r="166" spans="1:17" x14ac:dyDescent="0.3">
      <c r="A166" s="10" t="s">
        <v>73</v>
      </c>
      <c r="B166" s="16" t="s">
        <v>14</v>
      </c>
      <c r="C166" s="57" t="s">
        <v>34</v>
      </c>
      <c r="D166" s="29">
        <f t="shared" ref="D166:L166" si="100">D134+D150</f>
        <v>300.1040000000001</v>
      </c>
      <c r="E166" s="29">
        <f t="shared" si="100"/>
        <v>351.97764000000024</v>
      </c>
      <c r="F166" s="29">
        <f t="shared" si="100"/>
        <v>425.5237665333334</v>
      </c>
      <c r="G166" s="29">
        <f t="shared" si="100"/>
        <v>516.48205119466706</v>
      </c>
      <c r="H166" s="29">
        <f t="shared" si="100"/>
        <v>540.51462721464054</v>
      </c>
      <c r="I166" s="29">
        <f t="shared" si="100"/>
        <v>361.4388981215605</v>
      </c>
      <c r="J166" s="29">
        <f t="shared" si="100"/>
        <v>417.20549156069927</v>
      </c>
      <c r="K166" s="29">
        <f t="shared" si="100"/>
        <v>450.30439075168465</v>
      </c>
      <c r="L166" s="29">
        <f t="shared" si="100"/>
        <v>485.96752576581343</v>
      </c>
    </row>
    <row r="167" spans="1:17" x14ac:dyDescent="0.3">
      <c r="A167" s="10" t="s">
        <v>73</v>
      </c>
      <c r="B167" s="16" t="s">
        <v>18</v>
      </c>
      <c r="C167" s="57" t="s">
        <v>34</v>
      </c>
      <c r="D167" s="29">
        <f t="shared" ref="D167:L167" si="101">D135+D151</f>
        <v>619.95400000000041</v>
      </c>
      <c r="E167" s="29">
        <f t="shared" si="101"/>
        <v>725.62558000000058</v>
      </c>
      <c r="F167" s="29">
        <f t="shared" si="101"/>
        <v>912.61044413333411</v>
      </c>
      <c r="G167" s="29">
        <f t="shared" si="101"/>
        <v>1047.1111788166677</v>
      </c>
      <c r="H167" s="29">
        <f t="shared" si="101"/>
        <v>1094.0891665783406</v>
      </c>
      <c r="I167" s="29">
        <f t="shared" si="101"/>
        <v>816.40292386559997</v>
      </c>
      <c r="J167" s="29">
        <f t="shared" si="101"/>
        <v>897.99711411733074</v>
      </c>
      <c r="K167" s="29">
        <f t="shared" si="101"/>
        <v>902.59680831931644</v>
      </c>
      <c r="L167" s="29">
        <f t="shared" si="101"/>
        <v>927.65781639051841</v>
      </c>
    </row>
    <row r="169" spans="1:17" x14ac:dyDescent="0.3">
      <c r="A169" s="3" t="s">
        <v>152</v>
      </c>
      <c r="B169" s="3"/>
    </row>
    <row r="171" spans="1:17" x14ac:dyDescent="0.3">
      <c r="A171" s="10" t="s">
        <v>81</v>
      </c>
      <c r="B171" s="10" t="s">
        <v>74</v>
      </c>
      <c r="C171" s="10">
        <f>Inputs!$F$5</f>
        <v>2021</v>
      </c>
      <c r="D171" s="10">
        <f>C171+1</f>
        <v>2022</v>
      </c>
      <c r="E171" s="10">
        <f t="shared" ref="E171:L171" si="102">D171+1</f>
        <v>2023</v>
      </c>
      <c r="F171" s="10">
        <f t="shared" si="102"/>
        <v>2024</v>
      </c>
      <c r="G171" s="10">
        <f t="shared" si="102"/>
        <v>2025</v>
      </c>
      <c r="H171" s="10">
        <f t="shared" si="102"/>
        <v>2026</v>
      </c>
      <c r="I171" s="10">
        <f t="shared" si="102"/>
        <v>2027</v>
      </c>
      <c r="J171" s="10">
        <f t="shared" si="102"/>
        <v>2028</v>
      </c>
      <c r="K171" s="10">
        <f t="shared" si="102"/>
        <v>2029</v>
      </c>
      <c r="L171" s="10">
        <f t="shared" si="102"/>
        <v>2030</v>
      </c>
      <c r="N171" s="13" t="s">
        <v>52</v>
      </c>
    </row>
    <row r="172" spans="1:17" x14ac:dyDescent="0.3">
      <c r="A172" s="10" t="s">
        <v>82</v>
      </c>
      <c r="B172" s="16" t="s">
        <v>13</v>
      </c>
      <c r="C172" s="57">
        <f>Inputs!C78</f>
        <v>110</v>
      </c>
      <c r="D172" s="7">
        <f>C172*(1+$P$172)</f>
        <v>115.5</v>
      </c>
      <c r="E172" s="7">
        <f>D172*(1+$P$172)</f>
        <v>121.27500000000001</v>
      </c>
      <c r="F172" s="7">
        <f t="shared" ref="F172:L172" si="103">E172*(1+$P$172)</f>
        <v>127.33875</v>
      </c>
      <c r="G172" s="7">
        <f t="shared" si="103"/>
        <v>133.70568750000001</v>
      </c>
      <c r="H172" s="7">
        <f t="shared" si="103"/>
        <v>140.39097187500002</v>
      </c>
      <c r="I172" s="7">
        <f t="shared" si="103"/>
        <v>147.41052046875004</v>
      </c>
      <c r="J172" s="7">
        <f t="shared" si="103"/>
        <v>154.78104649218756</v>
      </c>
      <c r="K172" s="7">
        <f t="shared" si="103"/>
        <v>162.52009881679695</v>
      </c>
      <c r="L172" s="7">
        <f t="shared" si="103"/>
        <v>170.64610375763681</v>
      </c>
      <c r="N172" t="s">
        <v>13</v>
      </c>
      <c r="O172" t="s">
        <v>88</v>
      </c>
      <c r="P172" s="87">
        <f>'Policy Decisions'!K78</f>
        <v>0.05</v>
      </c>
      <c r="Q172" t="s">
        <v>87</v>
      </c>
    </row>
    <row r="173" spans="1:17" x14ac:dyDescent="0.3">
      <c r="A173" s="10" t="s">
        <v>82</v>
      </c>
      <c r="B173" s="16" t="s">
        <v>14</v>
      </c>
      <c r="C173" s="57">
        <f>Inputs!C79</f>
        <v>105</v>
      </c>
      <c r="D173" s="7">
        <f>C173*(1+$P$173)</f>
        <v>110.25</v>
      </c>
      <c r="E173" s="7">
        <f>D173*(1+$P$173)</f>
        <v>115.7625</v>
      </c>
      <c r="F173" s="7">
        <f t="shared" ref="F173:L173" si="104">E173*(1+$P$173)</f>
        <v>121.55062500000001</v>
      </c>
      <c r="G173" s="7">
        <f t="shared" si="104"/>
        <v>127.62815625000002</v>
      </c>
      <c r="H173" s="7">
        <f t="shared" si="104"/>
        <v>134.00956406250003</v>
      </c>
      <c r="I173" s="7">
        <f t="shared" si="104"/>
        <v>140.71004226562505</v>
      </c>
      <c r="J173" s="7">
        <f t="shared" si="104"/>
        <v>147.74554437890632</v>
      </c>
      <c r="K173" s="7">
        <f t="shared" si="104"/>
        <v>155.13282159785163</v>
      </c>
      <c r="L173" s="7">
        <f t="shared" si="104"/>
        <v>162.88946267774421</v>
      </c>
      <c r="N173" t="s">
        <v>14</v>
      </c>
      <c r="O173" t="s">
        <v>88</v>
      </c>
      <c r="P173" s="87">
        <f>'Policy Decisions'!K79</f>
        <v>0.05</v>
      </c>
      <c r="Q173" t="s">
        <v>87</v>
      </c>
    </row>
    <row r="174" spans="1:17" x14ac:dyDescent="0.3">
      <c r="A174" s="10" t="s">
        <v>82</v>
      </c>
      <c r="B174" s="16" t="s">
        <v>18</v>
      </c>
      <c r="C174" s="57">
        <f>Inputs!C80</f>
        <v>215</v>
      </c>
      <c r="D174" s="7">
        <f>D172+D173</f>
        <v>225.75</v>
      </c>
      <c r="E174" s="7">
        <f t="shared" ref="E174:L174" si="105">E172+E173</f>
        <v>237.03750000000002</v>
      </c>
      <c r="F174" s="7">
        <f t="shared" si="105"/>
        <v>248.88937500000003</v>
      </c>
      <c r="G174" s="7">
        <f t="shared" si="105"/>
        <v>261.33384375000003</v>
      </c>
      <c r="H174" s="7">
        <f t="shared" si="105"/>
        <v>274.40053593750008</v>
      </c>
      <c r="I174" s="7">
        <f t="shared" si="105"/>
        <v>288.12056273437508</v>
      </c>
      <c r="J174" s="7">
        <f t="shared" si="105"/>
        <v>302.52659087109384</v>
      </c>
      <c r="K174" s="7">
        <f t="shared" si="105"/>
        <v>317.65292041464858</v>
      </c>
      <c r="L174" s="7">
        <f t="shared" si="105"/>
        <v>333.53556643538104</v>
      </c>
      <c r="N174" t="s">
        <v>13</v>
      </c>
      <c r="O174" t="s">
        <v>89</v>
      </c>
      <c r="P174" s="87">
        <f>'Policy Decisions'!K80</f>
        <v>0.05</v>
      </c>
      <c r="Q174" t="s">
        <v>87</v>
      </c>
    </row>
    <row r="175" spans="1:17" x14ac:dyDescent="0.3">
      <c r="A175" s="10" t="s">
        <v>83</v>
      </c>
      <c r="B175" s="16" t="s">
        <v>13</v>
      </c>
      <c r="C175" s="57">
        <f>Inputs!C81</f>
        <v>310</v>
      </c>
      <c r="D175" s="7">
        <f>C175*(1+$P$174)</f>
        <v>325.5</v>
      </c>
      <c r="E175" s="7">
        <f>D175*(1+$P$174)</f>
        <v>341.77500000000003</v>
      </c>
      <c r="F175" s="7">
        <f t="shared" ref="F175:L175" si="106">E175*(1+$P$174)</f>
        <v>358.86375000000004</v>
      </c>
      <c r="G175" s="7">
        <f t="shared" si="106"/>
        <v>376.80693750000006</v>
      </c>
      <c r="H175" s="7">
        <f t="shared" si="106"/>
        <v>395.64728437500008</v>
      </c>
      <c r="I175" s="7">
        <f t="shared" si="106"/>
        <v>415.42964859375013</v>
      </c>
      <c r="J175" s="7">
        <f t="shared" si="106"/>
        <v>436.20113102343765</v>
      </c>
      <c r="K175" s="7">
        <f t="shared" si="106"/>
        <v>458.01118757460955</v>
      </c>
      <c r="L175" s="7">
        <f t="shared" si="106"/>
        <v>480.91174695334007</v>
      </c>
      <c r="N175" t="s">
        <v>14</v>
      </c>
      <c r="O175" t="s">
        <v>89</v>
      </c>
      <c r="P175" s="87">
        <f>'Policy Decisions'!K81</f>
        <v>0.05</v>
      </c>
      <c r="Q175" t="s">
        <v>87</v>
      </c>
    </row>
    <row r="176" spans="1:17" x14ac:dyDescent="0.3">
      <c r="A176" s="10" t="s">
        <v>83</v>
      </c>
      <c r="B176" s="16" t="s">
        <v>14</v>
      </c>
      <c r="C176" s="57">
        <f>Inputs!C82</f>
        <v>505</v>
      </c>
      <c r="D176" s="7">
        <f>C176*(1+$P$175)</f>
        <v>530.25</v>
      </c>
      <c r="E176" s="7">
        <f>D176*(1+$P$175)</f>
        <v>556.76250000000005</v>
      </c>
      <c r="F176" s="7">
        <f t="shared" ref="F176:L176" si="107">E176*(1+$P$175)</f>
        <v>584.60062500000004</v>
      </c>
      <c r="G176" s="7">
        <f t="shared" si="107"/>
        <v>613.83065625000006</v>
      </c>
      <c r="H176" s="7">
        <f t="shared" si="107"/>
        <v>644.52218906250005</v>
      </c>
      <c r="I176" s="7">
        <f t="shared" si="107"/>
        <v>676.74829851562504</v>
      </c>
      <c r="J176" s="7">
        <f t="shared" si="107"/>
        <v>710.58571344140637</v>
      </c>
      <c r="K176" s="7">
        <f t="shared" si="107"/>
        <v>746.11499911347676</v>
      </c>
      <c r="L176" s="7">
        <f t="shared" si="107"/>
        <v>783.42074906915059</v>
      </c>
      <c r="N176" t="s">
        <v>13</v>
      </c>
      <c r="O176" t="str">
        <f>Semantics!B11&amp;" Schools"</f>
        <v>Community Schools</v>
      </c>
      <c r="P176" s="87">
        <f>'Policy Decisions'!K82</f>
        <v>0.05</v>
      </c>
      <c r="Q176" t="s">
        <v>87</v>
      </c>
    </row>
    <row r="177" spans="1:17" x14ac:dyDescent="0.3">
      <c r="A177" s="10" t="s">
        <v>83</v>
      </c>
      <c r="B177" s="16" t="s">
        <v>18</v>
      </c>
      <c r="C177" s="57">
        <f>Inputs!C83</f>
        <v>815</v>
      </c>
      <c r="D177" s="7">
        <f t="shared" ref="D177:E177" si="108">D175+D176</f>
        <v>855.75</v>
      </c>
      <c r="E177" s="7">
        <f t="shared" si="108"/>
        <v>898.53750000000014</v>
      </c>
      <c r="F177" s="7">
        <f t="shared" ref="F177" si="109">F175+F176</f>
        <v>943.46437500000002</v>
      </c>
      <c r="G177" s="7">
        <f t="shared" ref="G177" si="110">G175+G176</f>
        <v>990.63759375000018</v>
      </c>
      <c r="H177" s="7">
        <f t="shared" ref="H177" si="111">H175+H176</f>
        <v>1040.1694734375001</v>
      </c>
      <c r="I177" s="7">
        <f t="shared" ref="I177" si="112">I175+I176</f>
        <v>1092.1779471093751</v>
      </c>
      <c r="J177" s="7">
        <f t="shared" ref="J177" si="113">J175+J176</f>
        <v>1146.7868444648441</v>
      </c>
      <c r="K177" s="7">
        <f t="shared" ref="K177" si="114">K175+K176</f>
        <v>1204.1261866880864</v>
      </c>
      <c r="L177" s="7">
        <f t="shared" ref="L177" si="115">L175+L176</f>
        <v>1264.3324960224907</v>
      </c>
      <c r="N177" t="s">
        <v>14</v>
      </c>
      <c r="O177" t="str">
        <f>Semantics!B11&amp;" Schools"</f>
        <v>Community Schools</v>
      </c>
      <c r="P177" s="87">
        <f>'Policy Decisions'!K83</f>
        <v>0.05</v>
      </c>
      <c r="Q177" t="s">
        <v>87</v>
      </c>
    </row>
    <row r="178" spans="1:17" x14ac:dyDescent="0.3">
      <c r="A178" s="10" t="str">
        <f>Semantics!B11</f>
        <v>Community</v>
      </c>
      <c r="B178" s="16" t="s">
        <v>13</v>
      </c>
      <c r="C178" s="57">
        <f>Inputs!C84</f>
        <v>85</v>
      </c>
      <c r="D178" s="7">
        <f>C178*(1+$P$176)</f>
        <v>89.25</v>
      </c>
      <c r="E178" s="7">
        <f>D178*(1+$P$176)</f>
        <v>93.712500000000006</v>
      </c>
      <c r="F178" s="7">
        <f t="shared" ref="F178:L178" si="116">E178*(1+$P$176)</f>
        <v>98.398125000000007</v>
      </c>
      <c r="G178" s="7">
        <f t="shared" si="116"/>
        <v>103.31803125000002</v>
      </c>
      <c r="H178" s="7">
        <f t="shared" si="116"/>
        <v>108.48393281250003</v>
      </c>
      <c r="I178" s="7">
        <f t="shared" si="116"/>
        <v>113.90812945312504</v>
      </c>
      <c r="J178" s="7">
        <f t="shared" si="116"/>
        <v>119.6035359257813</v>
      </c>
      <c r="K178" s="7">
        <f t="shared" si="116"/>
        <v>125.58371272207037</v>
      </c>
      <c r="L178" s="7">
        <f t="shared" si="116"/>
        <v>131.86289835817391</v>
      </c>
    </row>
    <row r="179" spans="1:17" x14ac:dyDescent="0.3">
      <c r="A179" s="10" t="str">
        <f>Semantics!B11</f>
        <v>Community</v>
      </c>
      <c r="B179" s="16" t="s">
        <v>14</v>
      </c>
      <c r="C179" s="57">
        <f>Inputs!C85</f>
        <v>70</v>
      </c>
      <c r="D179" s="7">
        <f>C179*(1+$P$177)</f>
        <v>73.5</v>
      </c>
      <c r="E179" s="7">
        <f>D179*(1+$P$177)</f>
        <v>77.174999999999997</v>
      </c>
      <c r="F179" s="7">
        <f t="shared" ref="F179:L179" si="117">E179*(1+$P$177)</f>
        <v>81.033749999999998</v>
      </c>
      <c r="G179" s="7">
        <f t="shared" si="117"/>
        <v>85.085437499999998</v>
      </c>
      <c r="H179" s="7">
        <f t="shared" si="117"/>
        <v>89.339709374999998</v>
      </c>
      <c r="I179" s="7">
        <f t="shared" si="117"/>
        <v>93.806694843750009</v>
      </c>
      <c r="J179" s="7">
        <f t="shared" si="117"/>
        <v>98.497029585937511</v>
      </c>
      <c r="K179" s="7">
        <f t="shared" si="117"/>
        <v>103.42188106523439</v>
      </c>
      <c r="L179" s="7">
        <f t="shared" si="117"/>
        <v>108.59297511849611</v>
      </c>
    </row>
    <row r="180" spans="1:17" x14ac:dyDescent="0.3">
      <c r="A180" s="10" t="str">
        <f>Semantics!B11</f>
        <v>Community</v>
      </c>
      <c r="B180" s="16" t="s">
        <v>18</v>
      </c>
      <c r="C180" s="57">
        <f>Inputs!C86</f>
        <v>155</v>
      </c>
      <c r="D180" s="7">
        <f t="shared" ref="D180:E180" si="118">D178+D179</f>
        <v>162.75</v>
      </c>
      <c r="E180" s="7">
        <f t="shared" si="118"/>
        <v>170.88749999999999</v>
      </c>
      <c r="F180" s="7">
        <f t="shared" ref="F180" si="119">F178+F179</f>
        <v>179.43187499999999</v>
      </c>
      <c r="G180" s="7">
        <f t="shared" ref="G180" si="120">G178+G179</f>
        <v>188.40346875</v>
      </c>
      <c r="H180" s="7">
        <f t="shared" ref="H180" si="121">H178+H179</f>
        <v>197.82364218750001</v>
      </c>
      <c r="I180" s="7">
        <f t="shared" ref="I180" si="122">I178+I179</f>
        <v>207.71482429687507</v>
      </c>
      <c r="J180" s="7">
        <f t="shared" ref="J180" si="123">J178+J179</f>
        <v>218.1005655117188</v>
      </c>
      <c r="K180" s="7">
        <f t="shared" ref="K180" si="124">K178+K179</f>
        <v>229.00559378730475</v>
      </c>
      <c r="L180" s="7">
        <f t="shared" ref="L180" si="125">L178+L179</f>
        <v>240.45587347667004</v>
      </c>
    </row>
    <row r="181" spans="1:17" x14ac:dyDescent="0.3">
      <c r="A181" s="10" t="s">
        <v>85</v>
      </c>
      <c r="B181" s="16" t="s">
        <v>13</v>
      </c>
      <c r="C181" s="57">
        <f t="shared" ref="C181:D181" si="126">C172+C175+C178</f>
        <v>505</v>
      </c>
      <c r="D181" s="29">
        <f t="shared" si="126"/>
        <v>530.25</v>
      </c>
      <c r="E181" s="29">
        <f t="shared" ref="E181:L181" si="127">E172+E175+E178</f>
        <v>556.76250000000005</v>
      </c>
      <c r="F181" s="29">
        <f t="shared" si="127"/>
        <v>584.60062500000004</v>
      </c>
      <c r="G181" s="29">
        <f t="shared" si="127"/>
        <v>613.83065625000006</v>
      </c>
      <c r="H181" s="29">
        <f t="shared" si="127"/>
        <v>644.52218906250016</v>
      </c>
      <c r="I181" s="29">
        <f t="shared" si="127"/>
        <v>676.74829851562527</v>
      </c>
      <c r="J181" s="29">
        <f t="shared" si="127"/>
        <v>710.58571344140648</v>
      </c>
      <c r="K181" s="29">
        <f t="shared" si="127"/>
        <v>746.11499911347687</v>
      </c>
      <c r="L181" s="29">
        <f t="shared" si="127"/>
        <v>783.42074906915082</v>
      </c>
    </row>
    <row r="182" spans="1:17" x14ac:dyDescent="0.3">
      <c r="A182" s="10" t="s">
        <v>85</v>
      </c>
      <c r="B182" s="16" t="s">
        <v>14</v>
      </c>
      <c r="C182" s="57">
        <f t="shared" ref="C182:D182" si="128">C173+C176+C179</f>
        <v>680</v>
      </c>
      <c r="D182" s="29">
        <f t="shared" si="128"/>
        <v>714</v>
      </c>
      <c r="E182" s="29">
        <f t="shared" ref="E182:L183" si="129">E173+E176+E179</f>
        <v>749.7</v>
      </c>
      <c r="F182" s="29">
        <f t="shared" si="129"/>
        <v>787.18499999999995</v>
      </c>
      <c r="G182" s="29">
        <f t="shared" si="129"/>
        <v>826.54425000000003</v>
      </c>
      <c r="H182" s="29">
        <f t="shared" si="129"/>
        <v>867.87146250000001</v>
      </c>
      <c r="I182" s="29">
        <f t="shared" si="129"/>
        <v>911.26503562500011</v>
      </c>
      <c r="J182" s="29">
        <f t="shared" si="129"/>
        <v>956.82828740625018</v>
      </c>
      <c r="K182" s="29">
        <f t="shared" si="129"/>
        <v>1004.6697017765628</v>
      </c>
      <c r="L182" s="29">
        <f t="shared" si="129"/>
        <v>1054.9031868653908</v>
      </c>
    </row>
    <row r="183" spans="1:17" x14ac:dyDescent="0.3">
      <c r="A183" s="10" t="s">
        <v>85</v>
      </c>
      <c r="B183" s="16" t="s">
        <v>18</v>
      </c>
      <c r="C183" s="57">
        <f t="shared" ref="C183:D183" si="130">C174+C177+C180</f>
        <v>1185</v>
      </c>
      <c r="D183" s="29">
        <f t="shared" si="130"/>
        <v>1244.25</v>
      </c>
      <c r="E183" s="29">
        <f t="shared" si="129"/>
        <v>1306.4625000000003</v>
      </c>
      <c r="F183" s="29">
        <f t="shared" si="129"/>
        <v>1371.785625</v>
      </c>
      <c r="G183" s="29">
        <f t="shared" si="129"/>
        <v>1440.3749062500003</v>
      </c>
      <c r="H183" s="29">
        <f t="shared" si="129"/>
        <v>1512.3936515625001</v>
      </c>
      <c r="I183" s="29">
        <f t="shared" si="129"/>
        <v>1588.0133341406254</v>
      </c>
      <c r="J183" s="29">
        <f t="shared" si="129"/>
        <v>1667.4140008476566</v>
      </c>
      <c r="K183" s="29">
        <f t="shared" si="129"/>
        <v>1750.7847008900399</v>
      </c>
      <c r="L183" s="29">
        <f t="shared" si="129"/>
        <v>1838.3239359345416</v>
      </c>
    </row>
    <row r="185" spans="1:17" x14ac:dyDescent="0.3">
      <c r="A185" s="31" t="s">
        <v>86</v>
      </c>
    </row>
  </sheetData>
  <sheetProtection algorithmName="SHA-512" hashValue="yke2Vtk18UYtzhAhHaDmYCjRyDFaFH1Rrg9TwMIDPR6rCta4mFkTGkzYXyMV70I6Gleg+N68/DiDdcQOC95IZw==" saltValue="etm/klvk55zRhL/a+jqNaA==" spinCount="100000" sheet="1" objects="1" scenarios="1"/>
  <phoneticPr fontId="6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Dashboard</vt:lpstr>
      <vt:lpstr>Semantics</vt:lpstr>
      <vt:lpstr>Inputs</vt:lpstr>
      <vt:lpstr>Policy Decisions</vt:lpstr>
      <vt:lpstr>Population</vt:lpstr>
      <vt:lpstr>Achievement Rates</vt:lpstr>
      <vt:lpstr>Enrolment</vt:lpstr>
      <vt:lpstr>Human Resource</vt:lpstr>
      <vt:lpstr>Classrooms &amp; Materials</vt:lpstr>
      <vt:lpstr>Supporting Strategies</vt:lpstr>
      <vt:lpstr>Cost</vt:lpstr>
      <vt:lpstr>Financing</vt:lpstr>
      <vt:lpstr>Policy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Alam</dc:creator>
  <cp:lastModifiedBy>Abdullah</cp:lastModifiedBy>
  <cp:lastPrinted>2021-12-25T06:34:54Z</cp:lastPrinted>
  <dcterms:created xsi:type="dcterms:W3CDTF">2021-08-07T07:53:45Z</dcterms:created>
  <dcterms:modified xsi:type="dcterms:W3CDTF">2022-02-25T02:03:14Z</dcterms:modified>
</cp:coreProperties>
</file>